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IPUZKOA\"/>
    </mc:Choice>
  </mc:AlternateContent>
  <workbookProtection workbookAlgorithmName="SHA-512" workbookHashValue="e1EwX+UBbVbk+0ZbI0+Mu1MPLXHcSH0YB29KxpK4Zgf8UzrNw4zyNGFJPQM4XNrXtfDIMKU8XvrYv/8NqMd31g==" workbookSaltValue="LNol9e10bmEHfYSKZG01J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L17" i="2" s="1"/>
  <c r="K16" i="2"/>
  <c r="L16" i="2" s="1"/>
  <c r="K15" i="2"/>
  <c r="L15" i="2" s="1"/>
  <c r="K12" i="2"/>
  <c r="K11" i="2"/>
  <c r="K10" i="2"/>
  <c r="L10" i="2" s="1"/>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T13" i="12" s="1"/>
  <c r="AI13" i="8"/>
  <c r="S13" i="12" s="1"/>
  <c r="AH13" i="8"/>
  <c r="R13" i="12" s="1"/>
  <c r="AG13" i="8"/>
  <c r="Q13" i="12" s="1"/>
  <c r="AF13" i="8"/>
  <c r="AE13" i="8"/>
  <c r="AD13" i="8"/>
  <c r="AC13" i="8"/>
  <c r="AB13" i="8"/>
  <c r="AA13" i="8"/>
  <c r="Z13" i="8"/>
  <c r="Y13" i="8"/>
  <c r="X13" i="8"/>
  <c r="W13" i="8"/>
  <c r="V13" i="8"/>
  <c r="U13" i="8"/>
  <c r="T13" i="8"/>
  <c r="S13" i="8"/>
  <c r="S19" i="8" s="1"/>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ES19" i="8"/>
  <c r="BH19" i="13"/>
  <c r="R8" i="9"/>
  <c r="X12" i="21" s="1"/>
  <c r="EP19" i="8"/>
  <c r="ER19" i="13"/>
  <c r="AL13" i="16"/>
  <c r="AJ13" i="16"/>
  <c r="EP19" i="19"/>
  <c r="T9" i="11"/>
  <c r="AP16" i="20"/>
  <c r="BF11" i="11"/>
  <c r="BH9" i="16"/>
  <c r="BH11" i="16"/>
  <c r="V15" i="11"/>
  <c r="BL9" i="11"/>
  <c r="BJ17" i="11"/>
  <c r="BH17" i="16"/>
  <c r="BH15" i="11"/>
  <c r="BG10" i="11"/>
  <c r="BH15" i="16"/>
  <c r="BM16" i="11"/>
  <c r="Q17" i="20"/>
  <c r="Q18" i="20" s="1"/>
  <c r="P17" i="17"/>
  <c r="V11" i="16"/>
  <c r="BL17" i="11"/>
  <c r="BF17" i="11"/>
  <c r="BK12" i="11"/>
  <c r="BF16" i="11"/>
  <c r="BF10" i="11"/>
  <c r="S17" i="16"/>
  <c r="BK9" i="11"/>
  <c r="BL12" i="11"/>
  <c r="S13" i="16"/>
  <c r="V12" i="21"/>
  <c r="P13" i="16"/>
  <c r="AM13" i="20"/>
  <c r="X11" i="17"/>
  <c r="V17" i="16"/>
  <c r="K18" i="2"/>
  <c r="N18" i="2"/>
  <c r="BK15" i="11"/>
  <c r="BK11" i="11"/>
  <c r="S9" i="17"/>
  <c r="V11" i="11"/>
  <c r="AZ17" i="11"/>
  <c r="AP10" i="21"/>
  <c r="BI10" i="11"/>
  <c r="BM12" i="11"/>
  <c r="Q10" i="21"/>
  <c r="BH9" i="11"/>
  <c r="V9" i="11"/>
  <c r="BI15" i="11"/>
  <c r="BJ11" i="11"/>
  <c r="BJ15" i="11"/>
  <c r="R10" i="21"/>
  <c r="R13" i="21" s="1"/>
  <c r="R19" i="21" s="1"/>
  <c r="BJ12" i="1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AU18" i="21"/>
  <c r="S15" i="17"/>
  <c r="AH13" i="16"/>
  <c r="S16" i="17"/>
  <c r="L12" i="2"/>
  <c r="X10" i="21"/>
  <c r="X15" i="16"/>
  <c r="X18" i="16" s="1"/>
  <c r="U9" i="17"/>
  <c r="U19" i="17" s="1"/>
  <c r="V10" i="16"/>
  <c r="L9" i="2"/>
  <c r="AZ19" i="11"/>
  <c r="R18" i="20"/>
  <c r="AP13" i="16"/>
  <c r="V9" i="16"/>
  <c r="T18" i="17"/>
  <c r="BG15" i="13"/>
  <c r="BE16" i="13"/>
  <c r="BE15" i="13"/>
  <c r="AX20" i="20"/>
  <c r="AC19" i="8" l="1"/>
  <c r="H10" i="2"/>
  <c r="M13" i="2"/>
  <c r="N13" i="2"/>
  <c r="AL16" i="11"/>
  <c r="C16" i="6"/>
  <c r="S12" i="14"/>
  <c r="V12" i="14" s="1"/>
  <c r="S16" i="14"/>
  <c r="V16" i="14" s="1"/>
  <c r="R11" i="14"/>
  <c r="R17" i="14"/>
  <c r="AM15" i="11"/>
  <c r="T12" i="11"/>
  <c r="AB13" i="2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G18" i="14"/>
  <c r="AV20" i="20"/>
  <c r="AE20" i="20"/>
  <c r="AB20" i="20"/>
  <c r="Y20" i="20"/>
  <c r="I20" i="20"/>
  <c r="W20" i="21"/>
  <c r="AZ20" i="20"/>
  <c r="J20" i="20"/>
  <c r="R20" i="20"/>
  <c r="U10" i="11"/>
  <c r="U16" i="11"/>
  <c r="AM20" i="20"/>
  <c r="G13" i="14"/>
  <c r="X20" i="20"/>
  <c r="P20" i="20"/>
  <c r="L20" i="20"/>
  <c r="AN20" i="20"/>
  <c r="M20" i="20"/>
  <c r="AO20" i="20"/>
  <c r="AA20" i="20"/>
  <c r="T20" i="21"/>
  <c r="N20" i="20"/>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T20" i="20"/>
  <c r="U17" i="11"/>
  <c r="AN18" i="11" l="1"/>
  <c r="AI19" i="11"/>
  <c r="BF13" i="8"/>
  <c r="AL19" i="2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<sst xmlns="http://schemas.openxmlformats.org/spreadsheetml/2006/main" count="2102" uniqueCount="918">
  <si>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</si>
  <si>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</si>
  <si>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</si>
  <si>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</si>
  <si>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</si>
  <si>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</si>
  <si>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</si>
  <si>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</si>
  <si>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</si>
  <si>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</si>
  <si>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</si>
  <si>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</si>
  <si>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</si>
  <si>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</si>
  <si>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</si>
  <si>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</si>
  <si>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</si>
  <si>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</si>
  <si>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</si>
  <si>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</si>
  <si>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</si>
  <si>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</si>
  <si>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</si>
  <si>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</si>
  <si>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</si>
  <si>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</si>
  <si>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</si>
  <si>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</si>
  <si>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</si>
  <si>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</si>
  <si>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</si>
  <si>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</si>
  <si>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</si>
  <si>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</si>
  <si>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</si>
  <si>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</si>
  <si>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</si>
  <si>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</si>
  <si>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</si>
  <si>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</si>
  <si>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</si>
  <si>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</si>
  <si>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</si>
  <si>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</si>
  <si>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</si>
  <si>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</si>
  <si>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</si>
  <si>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</si>
  <si>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</si>
  <si>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</si>
  <si>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</si>
  <si>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</si>
  <si>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</si>
  <si>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</si>
  <si>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</si>
  <si>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</si>
  <si>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</si>
  <si>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</si>
  <si>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</si>
  <si>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</si>
  <si>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</si>
  <si>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</si>
  <si>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</si>
  <si>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</si>
  <si>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</si>
  <si>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</si>
  <si>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</si>
  <si>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</si>
  <si>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</si>
  <si>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</si>
  <si>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</si>
  <si>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</si>
  <si>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</si>
  <si>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</si>
  <si>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</si>
  <si>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</si>
  <si>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</si>
  <si>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</si>
  <si>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</si>
  <si>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</si>
  <si>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</si>
  <si>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</si>
  <si>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</si>
  <si>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</si>
  <si>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</si>
  <si>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</si>
  <si>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</si>
  <si>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</si>
  <si>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</si>
  <si>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</si>
  <si>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</si>
  <si>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</si>
  <si>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</si>
  <si>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</si>
  <si>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</si>
  <si>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</si>
  <si>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</si>
  <si>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</si>
  <si>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</si>
  <si>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</si>
  <si>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</si>
  <si>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</si>
  <si>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</si>
  <si>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</si>
  <si>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</si>
  <si>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</si>
  <si>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</si>
  <si>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</si>
  <si>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</si>
  <si>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</si>
  <si>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</si>
  <si>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</si>
  <si>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</si>
  <si>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</si>
  <si>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</si>
  <si>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</si>
  <si>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</si>
  <si>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</si>
  <si>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</si>
  <si>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</si>
  <si>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</si>
  <si>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</si>
  <si>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</si>
  <si>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</si>
  <si>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</si>
  <si>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</si>
  <si>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</si>
  <si>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</si>
  <si>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</si>
  <si>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</si>
  <si>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</si>
  <si>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</si>
  <si>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</si>
  <si>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</si>
  <si>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</si>
  <si>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</si>
  <si>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</si>
  <si>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</si>
  <si>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</si>
  <si>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</si>
  <si>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</si>
  <si>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</si>
  <si>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</si>
  <si>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</si>
  <si>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</si>
  <si>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</si>
  <si>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</si>
  <si>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</si>
  <si>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</si>
  <si>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</si>
  <si>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</si>
  <si>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</si>
  <si>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</si>
  <si>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</si>
  <si>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</si>
  <si>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</si>
  <si>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</si>
  <si>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</si>
  <si>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</si>
  <si>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</si>
  <si>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</si>
  <si>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</si>
  <si>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</si>
  <si>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</si>
  <si>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</si>
  <si>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</si>
  <si>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</si>
  <si>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</si>
  <si>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</si>
  <si>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</si>
  <si>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</si>
  <si>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</si>
  <si>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</si>
  <si>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</si>
  <si>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</si>
  <si>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</si>
  <si>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</si>
  <si>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</si>
  <si>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</si>
  <si>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</si>
  <si>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</si>
  <si>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</si>
  <si>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</si>
  <si>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</si>
  <si>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</si>
  <si>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</si>
  <si>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</si>
  <si>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</si>
  <si>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</si>
  <si>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</si>
  <si>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</si>
  <si>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</si>
  <si>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</si>
  <si>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</si>
  <si>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</si>
  <si>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</si>
  <si>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</si>
  <si>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</si>
  <si>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</si>
  <si>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</si>
  <si>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</si>
  <si>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</si>
  <si>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</si>
  <si>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</si>
  <si>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</si>
  <si>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</si>
  <si>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</si>
  <si>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</si>
  <si>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</si>
  <si>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</si>
  <si>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</si>
  <si>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</si>
  <si>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</si>
  <si>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</si>
  <si>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</si>
  <si>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</si>
  <si>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</si>
  <si>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</si>
  <si>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</si>
  <si>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</si>
  <si>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</si>
  <si>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</si>
  <si>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</si>
  <si>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</si>
  <si>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</si>
  <si>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</si>
  <si>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</si>
  <si>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</si>
  <si>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</si>
  <si>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</si>
  <si>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</si>
  <si>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</si>
  <si>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</si>
  <si>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</si>
  <si>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</si>
  <si>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</si>
  <si>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</si>
  <si>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</si>
  <si>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</si>
  <si>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</si>
  <si>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</si>
  <si>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</si>
  <si>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</si>
  <si>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</si>
  <si>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</si>
  <si>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</si>
  <si>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</si>
  <si>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</si>
  <si>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</si>
  <si>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</si>
  <si>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</si>
  <si>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</si>
  <si>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</si>
  <si>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</si>
  <si>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</si>
  <si>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</si>
  <si>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</si>
  <si>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</si>
  <si>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</si>
  <si>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</si>
  <si>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</si>
  <si>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</si>
  <si>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</si>
  <si>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</si>
  <si>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</si>
  <si>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</si>
  <si>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</si>
  <si>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</si>
  <si>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</si>
  <si>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</si>
  <si>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</si>
  <si>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</si>
  <si>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</si>
  <si>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</si>
  <si>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</si>
  <si>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</si>
  <si>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</si>
  <si>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</si>
  <si>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</si>
  <si>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</si>
  <si>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</si>
  <si>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</si>
  <si>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</si>
  <si>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</si>
  <si>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</si>
  <si>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</si>
  <si>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</si>
  <si>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</si>
  <si>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</si>
  <si>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</si>
  <si>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</si>
  <si>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</si>
  <si>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</si>
  <si>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</si>
  <si>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</si>
  <si>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</si>
  <si>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</si>
  <si>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</si>
  <si>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</si>
  <si>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</si>
  <si>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</si>
  <si>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</si>
  <si>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</si>
  <si>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</si>
  <si>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</si>
  <si>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</si>
  <si>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</si>
  <si>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</si>
  <si>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</si>
  <si>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</si>
  <si>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</si>
  <si>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</si>
  <si>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</si>
  <si>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</si>
  <si>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</si>
  <si>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</si>
  <si>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</si>
  <si>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</si>
  <si>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</si>
  <si>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</si>
  <si>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</si>
  <si>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</si>
  <si>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</si>
  <si>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</si>
  <si>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</si>
  <si>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</si>
  <si>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</si>
  <si>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</si>
  <si>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</si>
  <si>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</si>
  <si>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</si>
  <si>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</si>
  <si>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</si>
  <si>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</si>
  <si>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</si>
  <si>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</si>
  <si>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</si>
  <si>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</si>
  <si>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</si>
  <si>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</si>
  <si>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</si>
  <si>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</si>
  <si>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</si>
  <si>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</si>
  <si>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</si>
  <si>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</si>
  <si>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</si>
  <si>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</si>
  <si>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</si>
  <si>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</si>
  <si>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</si>
  <si>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</si>
  <si>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</si>
  <si>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</si>
  <si>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</si>
  <si>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</si>
  <si>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</si>
  <si>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</si>
  <si>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</si>
  <si>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</si>
  <si>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</si>
  <si>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</si>
  <si>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</si>
  <si>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</si>
  <si>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</si>
  <si>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</si>
  <si>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</si>
  <si>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</si>
  <si>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</si>
  <si>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</si>
  <si>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</si>
  <si>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</si>
  <si>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</si>
  <si>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</si>
  <si>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</si>
  <si>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</si>
  <si>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</si>
  <si>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</si>
  <si>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</si>
  <si>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</si>
  <si>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</si>
  <si>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</si>
  <si>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</si>
  <si>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</si>
  <si>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</si>
  <si>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</si>
  <si>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</si>
  <si>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</si>
  <si>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</si>
  <si>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</si>
  <si>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</si>
  <si>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</si>
  <si>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</si>
  <si>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</si>
  <si>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</si>
  <si>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</si>
  <si>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</si>
  <si>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</si>
  <si>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</si>
  <si>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</si>
  <si>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</si>
  <si>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</si>
  <si>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</si>
  <si>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</si>
  <si>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</si>
  <si>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</si>
  <si>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</si>
  <si>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</si>
  <si>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</si>
  <si>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</si>
  <si>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</si>
  <si>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</si>
  <si>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</si>
  <si>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</si>
  <si>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</si>
  <si>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</si>
  <si>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</si>
  <si>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</si>
  <si>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</si>
  <si>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</si>
  <si>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</si>
  <si>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</si>
  <si>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</si>
  <si>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</si>
  <si>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</si>
  <si>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</si>
  <si>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</si>
  <si>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</si>
  <si>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</si>
  <si>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</si>
  <si>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</si>
  <si>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</si>
  <si>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</si>
  <si>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</si>
  <si>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</si>
  <si>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</si>
  <si>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</si>
  <si>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</si>
  <si>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</si>
  <si>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</si>
  <si>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</si>
  <si>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</si>
  <si>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</si>
  <si>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</si>
  <si>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</si>
  <si>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</si>
  <si>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</si>
  <si>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</si>
  <si>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</si>
  <si>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</si>
  <si>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</si>
  <si>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</si>
  <si>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</si>
  <si>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</si>
  <si>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</si>
  <si>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</si>
  <si>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</si>
  <si>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</si>
  <si>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</si>
  <si>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</si>
  <si>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</si>
  <si>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</si>
  <si>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</si>
  <si>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</si>
  <si>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</si>
  <si>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</si>
  <si>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</si>
  <si>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</si>
  <si>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</si>
  <si>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</si>
  <si>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</si>
  <si>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</si>
  <si>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</si>
  <si>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</si>
  <si>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</si>
  <si>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</si>
  <si>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</si>
  <si>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</si>
  <si>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</si>
  <si>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</si>
  <si>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</si>
  <si>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</si>
  <si>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</si>
  <si>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</si>
  <si>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</si>
  <si>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</si>
  <si>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</si>
  <si>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</si>
  <si>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</si>
  <si>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</si>
  <si>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</si>
  <si>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</si>
  <si>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</si>
  <si>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</si>
  <si>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</si>
  <si>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</si>
  <si>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</si>
  <si>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</si>
  <si>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</si>
  <si>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</si>
  <si>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</si>
  <si>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</si>
  <si>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</si>
  <si>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</si>
  <si>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</si>
  <si>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</si>
  <si>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</si>
  <si>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</si>
  <si>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</si>
  <si>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</si>
  <si>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</si>
  <si>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</si>
  <si>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</si>
  <si>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</si>
  <si>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</si>
  <si>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</si>
  <si>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</si>
  <si>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</si>
  <si>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</si>
  <si>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</si>
  <si>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</si>
  <si>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</si>
  <si>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</si>
  <si>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</si>
  <si>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</si>
  <si>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</si>
  <si>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</si>
  <si>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</si>
  <si>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</si>
  <si>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</si>
  <si>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</si>
  <si>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</si>
  <si>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</si>
  <si>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</si>
  <si>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</si>
  <si>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</si>
  <si>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</si>
  <si>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</si>
  <si>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</si>
  <si>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</si>
  <si>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</si>
  <si>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</si>
  <si>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</si>
  <si>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</si>
  <si>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</si>
  <si>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</si>
  <si>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</si>
  <si>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</si>
  <si>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</si>
  <si>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</si>
  <si>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</si>
  <si>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</si>
  <si>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</si>
  <si>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</si>
  <si>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</si>
  <si>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</si>
  <si>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</si>
  <si>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</si>
  <si>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</si>
  <si>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</si>
  <si>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</si>
  <si>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</si>
  <si>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</si>
  <si>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</si>
  <si>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</si>
  <si>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</si>
  <si>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</si>
  <si>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</si>
  <si>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</si>
  <si>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</si>
  <si>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</si>
  <si>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</si>
  <si>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</si>
  <si>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</si>
  <si>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</si>
  <si>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</si>
  <si>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</si>
  <si>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</si>
  <si>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</si>
  <si>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</si>
  <si>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</si>
  <si>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</si>
  <si>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</si>
  <si>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</si>
  <si>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</si>
  <si>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</si>
  <si>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</si>
  <si>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</si>
  <si>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</si>
  <si>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</si>
  <si>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</si>
  <si>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</si>
  <si>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</si>
  <si>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</si>
  <si>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</si>
  <si>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</si>
  <si>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</si>
  <si>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</si>
  <si>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</si>
  <si>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</si>
  <si>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</si>
  <si>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</si>
  <si>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</si>
  <si>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</si>
  <si>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</si>
  <si>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</si>
  <si>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</si>
  <si>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</si>
  <si>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</si>
  <si>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</si>
  <si>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</si>
  <si>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</si>
  <si>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</si>
  <si>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</si>
  <si>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</si>
  <si>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</si>
  <si>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</si>
  <si>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</si>
  <si>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</si>
  <si>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</si>
  <si>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</si>
  <si>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</si>
  <si>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</si>
  <si>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</si>
  <si>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</si>
  <si>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</si>
  <si>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</si>
  <si>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</si>
  <si>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</si>
  <si>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</si>
  <si>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</si>
  <si>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</si>
  <si>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</si>
  <si>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</si>
  <si>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</si>
  <si>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</si>
  <si>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</si>
  <si>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</si>
  <si>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</si>
  <si>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</si>
  <si>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</si>
  <si>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</si>
  <si>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</si>
  <si>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</si>
  <si>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</si>
  <si>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</si>
  <si>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</si>
  <si>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</si>
  <si>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</si>
  <si>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</si>
  <si>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</si>
  <si>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</si>
  <si>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</si>
  <si>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</si>
  <si>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</si>
  <si>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</si>
  <si>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</si>
  <si>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</si>
  <si>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</si>
  <si>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</si>
  <si>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</si>
  <si>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</si>
  <si>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</si>
  <si>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</si>
  <si>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</si>
  <si>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</si>
  <si>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</si>
  <si>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</si>
  <si>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</si>
  <si>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</si>
  <si>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</si>
  <si>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</si>
  <si>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</si>
  <si>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</si>
  <si>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</si>
  <si>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</si>
  <si>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</si>
  <si>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</si>
  <si>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</si>
  <si>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</si>
  <si>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</si>
  <si>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</si>
  <si>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</si>
  <si>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</si>
  <si>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</si>
  <si>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</si>
  <si>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</si>
  <si>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</si>
  <si>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</si>
  <si>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</si>
  <si>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</si>
  <si>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</si>
  <si>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</si>
  <si>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</si>
  <si>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</si>
  <si>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</si>
  <si>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</si>
  <si>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</si>
  <si>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</si>
  <si>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</si>
  <si>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</si>
  <si>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</si>
  <si>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</si>
  <si>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</si>
  <si>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</si>
  <si>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</si>
  <si>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</si>
  <si>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</si>
  <si>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</si>
  <si>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</si>
  <si>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</si>
  <si>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</si>
  <si>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</si>
  <si>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</si>
  <si>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</si>
  <si>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</si>
  <si>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</si>
  <si>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</si>
  <si>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</si>
  <si>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</si>
  <si>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</si>
  <si>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</si>
  <si>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</si>
  <si>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</si>
  <si>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</si>
  <si>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</si>
  <si>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</si>
  <si>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</si>
  <si>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</si>
  <si>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</si>
  <si>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</si>
  <si>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</si>
  <si>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</si>
  <si>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</si>
  <si>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</si>
  <si>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</si>
  <si>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</si>
  <si>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</si>
  <si>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</si>
  <si>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</si>
  <si>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</si>
  <si>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</si>
  <si>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</si>
  <si>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</si>
  <si>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</si>
  <si>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</si>
  <si>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</si>
  <si>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</si>
  <si>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</si>
  <si>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</si>
  <si>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</si>
  <si>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</si>
  <si>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</si>
  <si>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</si>
  <si>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</si>
  <si>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</si>
  <si>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</si>
  <si>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</si>
  <si>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</si>
  <si>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</si>
  <si>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</si>
  <si>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</si>
  <si>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</si>
  <si>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</si>
  <si>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</si>
  <si>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</si>
  <si>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</si>
  <si>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</si>
  <si>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</si>
  <si>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</si>
  <si>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</si>
  <si>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</si>
  <si>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</si>
  <si>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</si>
  <si>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</si>
  <si>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</si>
  <si>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</si>
  <si>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</si>
  <si>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</si>
  <si>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</si>
  <si>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</si>
  <si>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</si>
  <si>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</si>
  <si>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</si>
  <si>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</si>
  <si>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</si>
  <si>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</si>
  <si>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</si>
  <si>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</si>
  <si>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</si>
  <si>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</si>
  <si>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</si>
  <si>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</si>
  <si>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</si>
  <si>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</si>
  <si>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</si>
  <si>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</si>
  <si>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</si>
  <si>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</si>
  <si>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</si>
  <si>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</si>
  <si>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</si>
  <si>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</si>
  <si>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</si>
  <si>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</si>
  <si>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</si>
  <si>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</si>
  <si>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</si>
  <si>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</si>
  <si>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</si>
  <si>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</si>
  <si>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</si>
  <si>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</si>
  <si>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</si>
  <si>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</si>
  <si>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</si>
  <si>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</si>
  <si>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</si>
  <si>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</si>
  <si>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</si>
  <si>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</si>
  <si>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</si>
  <si>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</si>
  <si>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</si>
  <si>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</si>
  <si>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</si>
  <si>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</si>
  <si>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</si>
  <si>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</si>
  <si>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</si>
  <si>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</si>
  <si>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</si>
  <si>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</si>
  <si>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</si>
  <si>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</si>
  <si>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</si>
  <si>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</si>
  <si>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</si>
  <si>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</si>
  <si>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</si>
  <si>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</si>
  <si>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</si>
  <si>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</si>
  <si>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</si>
  <si>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</si>
  <si>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</si>
  <si>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</si>
  <si>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</si>
  <si>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</si>
  <si>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</si>
  <si>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</si>
  <si>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</si>
  <si>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</si>
  <si>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</si>
  <si>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</si>
  <si>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</si>
  <si>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</si>
  <si>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</si>
  <si>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</si>
  <si>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</si>
  <si>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</si>
  <si>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</si>
  <si>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</si>
  <si>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</si>
  <si>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</si>
  <si>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</si>
  <si>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</si>
  <si>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</si>
  <si>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</si>
  <si>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</si>
  <si>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</si>
  <si>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</si>
  <si>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</si>
  <si>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</si>
  <si>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</si>
  <si>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</si>
  <si>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</si>
  <si>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</si>
  <si>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</si>
  <si>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</si>
  <si>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</si>
  <si>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</si>
  <si>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</si>
  <si>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</si>
  <si>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</si>
  <si>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</si>
  <si>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</si>
  <si>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</si>
  <si>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</si>
  <si>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</si>
  <si>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</si>
  <si>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</si>
  <si>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</si>
  <si>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</si>
  <si>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</si>
  <si>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</si>
  <si>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</si>
  <si>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</si>
  <si>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</si>
  <si>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</si>
  <si>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</si>
  <si>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</si>
  <si>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</si>
  <si>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</si>
  <si>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</si>
  <si>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</si>
  <si>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</si>
  <si>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</si>
  <si>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</si>
  <si>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</si>
  <si>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</si>
  <si>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</si>
  <si>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</si>
  <si>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PAIS VASCO</t>
  </si>
  <si>
    <t>Provincias</t>
  </si>
  <si>
    <t>GIPUZKOA</t>
  </si>
  <si>
    <t>Resumenes por Partidos Judiciales</t>
  </si>
  <si>
    <t>TOLOSA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</si>
</sst>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TQQzAytatd4NakQrtWIk9iineGSwuhcyRytmoedNiC2YwDQZc1TfDyOYSXeuR0ovYY402zatZkc2lZJjj1GWsw==" saltValue="t4EydX/5dgiKUSVIZirzf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PAIS VASCO</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50</v>
      </c>
      <c r="D10" s="225">
        <f>IF(ISNUMBER(Datos!I10),Datos!I10," - ")</f>
        <v>57</v>
      </c>
      <c r="E10" s="226">
        <f>IF(ISNUMBER(Datos!J10),Datos!J10," - ")</f>
        <v>46</v>
      </c>
      <c r="F10" s="226">
        <f>IF(ISNUMBER(Datos!K10),Datos!K10," - ")</f>
        <v>58</v>
      </c>
      <c r="G10" s="1034" t="str">
        <f>IF(Datos!E10&lt;&gt;"",Datos!E10,Datos!D10)</f>
        <v>37</v>
      </c>
      <c r="H10" s="227">
        <f>IF(ISNUMBER(Datos!L10),Datos!L10," - ")</f>
        <v>38</v>
      </c>
      <c r="I10" s="1044" t="str">
        <f>IF(ISNUMBER(Datos!AS10/Datos!BM10),Datos!AS10/Datos!BM10," - ")</f>
        <v xml:space="preserve"> - </v>
      </c>
      <c r="J10" s="1045">
        <f>IF(ISNUMBER(Datos!BY10/Datos!CN10),Datos!BY10/Datos!CN10," - ")</f>
        <v>0</v>
      </c>
      <c r="K10" s="230">
        <f t="shared" ref="K10:K12" si="1">IF(ISNUMBER((E10-F10)/C10),(E10-F10)/C10," - ")</f>
        <v>-0.24</v>
      </c>
      <c r="L10" s="1025">
        <f>IF(ISNUMBER(NºAsuntos!I10/NºAsuntos!G10),(NºAsuntos!I10/NºAsuntos!G10)*11," - ")</f>
        <v>7.2068965517241379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6.656879929886065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50</v>
      </c>
      <c r="D13" s="1049">
        <f>SUBTOTAL(9,D9:D12)</f>
        <v>57</v>
      </c>
      <c r="E13" s="1050">
        <f>SUBTOTAL(9,E9:E12)</f>
        <v>46</v>
      </c>
      <c r="F13" s="1051">
        <f>SUBTOTAL(9,F9:F12)</f>
        <v>58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1152</v>
      </c>
      <c r="D16" s="225">
        <f>IF(ISNUMBER(IF(D_I="SI",Datos!I16,Datos!I16+Datos!AC16)),IF(D_I="SI",Datos!I16,Datos!I16+Datos!AC16)," - ")</f>
        <v>1204</v>
      </c>
      <c r="E16" s="226">
        <f>IF(ISNUMBER(IF(D_I="SI",Datos!J16,Datos!J16+Datos!AD16)),IF(D_I="SI",Datos!J16,Datos!J16+Datos!AD16)," - ")</f>
        <v>2437</v>
      </c>
      <c r="F16" s="226">
        <f>IF(ISNUMBER(IF(D_I="SI",Datos!K16,Datos!K16+Datos!AE16)),IF(D_I="SI",Datos!K16,Datos!K16+Datos!AE16)," - ")</f>
        <v>2086</v>
      </c>
      <c r="G16" s="1034" t="str">
        <f>IF(Datos!E16&lt;&gt;"",Datos!E16,Datos!D16)</f>
        <v>04</v>
      </c>
      <c r="H16" s="227">
        <f>IF(ISNUMBER(IF(D_I="SI",Datos!L16,Datos!L16+Datos!AF16)),IF(D_I="SI",Datos!L16,Datos!L16+Datos!AF16)," - ")</f>
        <v>1503</v>
      </c>
      <c r="I16" s="1044" t="str">
        <f>IF(ISNUMBER(Datos!AS16/Datos!BM16),Datos!AS16/Datos!BM16," - ")</f>
        <v xml:space="preserve"> - </v>
      </c>
      <c r="J16" s="1045">
        <f>IF(ISNUMBER(Datos!BY16/Datos!CN16),Datos!BY16/Datos!CN16," - ")</f>
        <v>0</v>
      </c>
      <c r="K16" s="230">
        <f t="shared" si="3"/>
        <v>0.3046875</v>
      </c>
      <c r="L16" s="1025">
        <f>IF(ISNUMBER(NºAsuntos!I16/NºAsuntos!G16),(NºAsuntos!I16/NºAsuntos!G16)*11," - ")</f>
        <v>7.9256951102588689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140</v>
      </c>
      <c r="D17" s="225">
        <f>IF(ISNUMBER(IF(D_I="SI",Datos!I17,Datos!I17+Datos!AC17)),IF(D_I="SI",Datos!I17,Datos!I17+Datos!AC17)," - ")</f>
        <v>148</v>
      </c>
      <c r="E17" s="226">
        <f>IF(ISNUMBER(IF(D_I="SI",Datos!J17,Datos!J17+Datos!AD17)),IF(D_I="SI",Datos!J17,Datos!J17+Datos!AD17)," - ")</f>
        <v>310</v>
      </c>
      <c r="F17" s="226">
        <f>IF(ISNUMBER(IF(D_I="SI",Datos!K17,Datos!K17+Datos!AE17)),IF(D_I="SI",Datos!K17,Datos!K17+Datos!AE17)," - ")</f>
        <v>307</v>
      </c>
      <c r="G17" s="1034" t="str">
        <f>IF(Datos!E17&lt;&gt;"",Datos!E17,Datos!D17)</f>
        <v>37</v>
      </c>
      <c r="H17" s="227">
        <f>IF(ISNUMBER(IF(D_I="SI",Datos!L17,Datos!L17+Datos!AF17)),IF(D_I="SI",Datos!L17,Datos!L17+Datos!AF17)," - ")</f>
        <v>143</v>
      </c>
      <c r="I17" s="1044" t="str">
        <f>IF(ISNUMBER(Datos!AS17/Datos!BM17),Datos!AS17/Datos!BM17," - ")</f>
        <v xml:space="preserve"> - </v>
      </c>
      <c r="J17" s="1045" t="str">
        <f>IF(ISNUMBER((Datos!BY17+Datos!BZ17)/Datos!CN17),(Datos!BY17+Datos!BZ17)/Datos!CN17," - ")</f>
        <v xml:space="preserve"> - </v>
      </c>
      <c r="K17" s="230">
        <f t="shared" si="3"/>
        <v>2.1428571428571429E-2</v>
      </c>
      <c r="L17" s="1025">
        <f>IF(ISNUMBER(NºAsuntos!I17/NºAsuntos!G17),(NºAsuntos!I17/NºAsuntos!G17)*11," - ")</f>
        <v>5.1237785016286646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1292</v>
      </c>
      <c r="D18" s="1049">
        <f>SUBTOTAL(9,D15:D17)</f>
        <v>1352</v>
      </c>
      <c r="E18" s="1050">
        <f>SUBTOTAL(9,E15:E17)</f>
        <v>2747</v>
      </c>
      <c r="F18" s="1050">
        <f>SUBTOTAL(9,F15:F17)</f>
        <v>2393</v>
      </c>
      <c r="G18" s="1052" t="str">
        <f ca="1">INDIRECT(CONCATENATE("G",ROW()-1))</f>
        <v>37</v>
      </c>
      <c r="H18" s="1053">
        <f ca="1">SUMIF(G$14:G17,G18,H$14:H17)</f>
        <v>143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1342</v>
      </c>
      <c r="D19" s="1071">
        <f>SUBTOTAL(9,D9:D18)</f>
        <v>1409</v>
      </c>
      <c r="E19" s="1072">
        <f>SUBTOTAL(9,E9:E18)</f>
        <v>2793</v>
      </c>
      <c r="F19" s="1072">
        <f>SUBTOTAL(9,F9:F18)</f>
        <v>2451</v>
      </c>
      <c r="G19" s="1073"/>
      <c r="H19" s="1074">
        <f ca="1">SUMIF(B9:B18,"TOTAL",H9:H18)</f>
        <v>143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lrTdYkgfZTEHwti8++vCH4vbfZc7nnbsoWw+HGMMeBcFDWdGOJT60qV/FY1nxX6MLpKwpwaWKmg6YKYVM2AGGQ==" saltValue="TiU+YPF1VCgK9MrY+N+wY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jhS+rTQVIhlBfiFLQlizILgD29OSvRAt23Ks3s0BMFvvTq3on6dLD/n59oWdjdVYv3zH72UwisypCeb/mgb98Q==" saltValue="fSieu6oKjaQCTz1LB3doU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57</v>
      </c>
      <c r="J10" s="181">
        <v>46</v>
      </c>
      <c r="K10" s="181">
        <v>58</v>
      </c>
      <c r="L10" s="181">
        <v>38</v>
      </c>
      <c r="M10" s="181">
        <v>34</v>
      </c>
      <c r="N10" s="181">
        <v>11</v>
      </c>
      <c r="O10" s="181">
        <v>30</v>
      </c>
      <c r="P10" s="181">
        <v>10</v>
      </c>
      <c r="Q10" s="181">
        <v>20</v>
      </c>
      <c r="R10" s="181">
        <v>24</v>
      </c>
      <c r="S10" s="181">
        <v>38</v>
      </c>
      <c r="T10" s="181">
        <v>48</v>
      </c>
      <c r="U10" s="181">
        <v>46</v>
      </c>
      <c r="V10" s="181">
        <v>57</v>
      </c>
      <c r="W10" s="181">
        <v>24</v>
      </c>
      <c r="X10" s="188">
        <v>9</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38</v>
      </c>
      <c r="AZ10" s="129">
        <f t="shared" si="0"/>
        <v>48</v>
      </c>
      <c r="BA10" s="129">
        <f t="shared" si="0"/>
        <v>46</v>
      </c>
      <c r="BB10" s="129">
        <f t="shared" si="0"/>
        <v>57</v>
      </c>
      <c r="BC10" s="125">
        <f t="shared" si="0"/>
        <v>24</v>
      </c>
      <c r="BD10" s="126">
        <f>IF(ISNUMBER(BA10/AZ10),BA10/AZ10," - ")</f>
        <v>0.95833333333333337</v>
      </c>
      <c r="BE10" s="127">
        <f>IF(ISNUMBER(BB10/BA10),BB10/BA10, " - ")</f>
        <v>1.2391304347826086</v>
      </c>
      <c r="BF10" s="127">
        <f>IF(ISNUMBER(BC10/BA10),BC10/BA10, " - ")</f>
        <v>0.52173913043478259</v>
      </c>
      <c r="BG10" s="196">
        <f>IF(ISNUMBER((AY10+AZ10)/BA10),(AY10+AZ10)/BA10," - ")</f>
        <v>1.8695652173913044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1363</v>
      </c>
      <c r="J12" s="183">
        <v>2139</v>
      </c>
      <c r="K12" s="183">
        <v>2154</v>
      </c>
      <c r="L12" s="183">
        <v>1347</v>
      </c>
      <c r="M12" s="183">
        <v>632</v>
      </c>
      <c r="N12" s="183">
        <v>802</v>
      </c>
      <c r="O12" s="181">
        <v>568</v>
      </c>
      <c r="P12" s="183">
        <v>444</v>
      </c>
      <c r="Q12" s="183">
        <v>655</v>
      </c>
      <c r="R12" s="183">
        <v>799</v>
      </c>
      <c r="S12" s="183">
        <v>1356</v>
      </c>
      <c r="T12" s="183">
        <v>1861</v>
      </c>
      <c r="U12" s="183">
        <v>1732</v>
      </c>
      <c r="V12" s="183">
        <v>1363</v>
      </c>
      <c r="W12" s="183">
        <v>540</v>
      </c>
      <c r="X12" s="189">
        <v>566</v>
      </c>
      <c r="Y12" s="191">
        <v>38</v>
      </c>
      <c r="Z12" s="181">
        <v>142</v>
      </c>
      <c r="AA12" s="181">
        <v>128</v>
      </c>
      <c r="AB12" s="181">
        <v>34</v>
      </c>
      <c r="AC12" s="183">
        <v>0</v>
      </c>
      <c r="AD12" s="183">
        <v>0</v>
      </c>
      <c r="AE12" s="183">
        <v>0</v>
      </c>
      <c r="AF12" s="189">
        <v>0</v>
      </c>
      <c r="AG12" s="202">
        <v>66</v>
      </c>
      <c r="AH12" s="183">
        <v>129</v>
      </c>
      <c r="AI12" s="183">
        <v>162</v>
      </c>
      <c r="AJ12" s="203">
        <v>38</v>
      </c>
      <c r="AK12" s="182">
        <v>0</v>
      </c>
      <c r="AL12" s="183">
        <v>0</v>
      </c>
      <c r="AM12" s="183">
        <v>0</v>
      </c>
      <c r="AN12" s="189">
        <v>0</v>
      </c>
      <c r="AO12" s="259">
        <v>4</v>
      </c>
      <c r="AP12" s="155">
        <v>4</v>
      </c>
      <c r="AQ12" s="155">
        <v>4</v>
      </c>
      <c r="AR12" s="154">
        <v>4</v>
      </c>
      <c r="AS12" s="340" t="s">
        <v>802</v>
      </c>
      <c r="AT12" s="203"/>
      <c r="AU12" s="202"/>
      <c r="AV12" s="203"/>
      <c r="AW12" s="202"/>
      <c r="AX12" s="203"/>
      <c r="AY12" s="126">
        <f t="shared" si="1"/>
        <v>1422</v>
      </c>
      <c r="AZ12" s="127">
        <f t="shared" si="1"/>
        <v>1990</v>
      </c>
      <c r="BA12" s="127">
        <f t="shared" si="1"/>
        <v>1894</v>
      </c>
      <c r="BB12" s="127">
        <f t="shared" si="1"/>
        <v>1401</v>
      </c>
      <c r="BC12" s="125">
        <f>IF(ISNUMBER(X12),X12," - ")</f>
        <v>566</v>
      </c>
      <c r="BD12" s="126">
        <f t="shared" si="2"/>
        <v>0.95175879396984919</v>
      </c>
      <c r="BE12" s="127">
        <f t="shared" si="3"/>
        <v>0.73970432946145726</v>
      </c>
      <c r="BF12" s="127">
        <f t="shared" si="4"/>
        <v>0.29883843717001057</v>
      </c>
      <c r="BG12" s="196">
        <f t="shared" si="5"/>
        <v>1.8014783526927138</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1420</v>
      </c>
      <c r="J13" s="184">
        <f t="shared" si="6"/>
        <v>2185</v>
      </c>
      <c r="K13" s="184">
        <f t="shared" si="6"/>
        <v>2212</v>
      </c>
      <c r="L13" s="184">
        <f t="shared" si="6"/>
        <v>1385</v>
      </c>
      <c r="M13" s="184">
        <f t="shared" si="6"/>
        <v>666</v>
      </c>
      <c r="N13" s="184">
        <f t="shared" si="6"/>
        <v>813</v>
      </c>
      <c r="O13" s="184">
        <f t="shared" si="6"/>
        <v>598</v>
      </c>
      <c r="P13" s="184">
        <f t="shared" si="6"/>
        <v>454</v>
      </c>
      <c r="Q13" s="184">
        <f t="shared" si="6"/>
        <v>675</v>
      </c>
      <c r="R13" s="184">
        <f t="shared" si="6"/>
        <v>823</v>
      </c>
      <c r="S13" s="184">
        <f t="shared" si="6"/>
        <v>1394</v>
      </c>
      <c r="T13" s="184">
        <f t="shared" si="6"/>
        <v>1909</v>
      </c>
      <c r="U13" s="184">
        <f t="shared" si="6"/>
        <v>1778</v>
      </c>
      <c r="V13" s="184">
        <f t="shared" si="6"/>
        <v>1420</v>
      </c>
      <c r="W13" s="184">
        <f t="shared" si="6"/>
        <v>564</v>
      </c>
      <c r="X13" s="184">
        <f t="shared" si="6"/>
        <v>575</v>
      </c>
      <c r="Y13" s="184">
        <f t="shared" si="6"/>
        <v>38</v>
      </c>
      <c r="Z13" s="184">
        <f t="shared" si="6"/>
        <v>142</v>
      </c>
      <c r="AA13" s="184">
        <f t="shared" si="6"/>
        <v>128</v>
      </c>
      <c r="AB13" s="184">
        <f t="shared" si="6"/>
        <v>34</v>
      </c>
      <c r="AC13" s="184">
        <f t="shared" si="6"/>
        <v>0</v>
      </c>
      <c r="AD13" s="184">
        <f t="shared" si="6"/>
        <v>0</v>
      </c>
      <c r="AE13" s="184">
        <f t="shared" si="6"/>
        <v>0</v>
      </c>
      <c r="AF13" s="184">
        <f>SUBTOTAL(9,AF9:AF12)</f>
        <v>0</v>
      </c>
      <c r="AG13" s="184">
        <f t="shared" ref="AG13:AT13" si="7">SUBTOTAL(9,AG8:AG12)</f>
        <v>66</v>
      </c>
      <c r="AH13" s="184">
        <f t="shared" si="7"/>
        <v>129</v>
      </c>
      <c r="AI13" s="184">
        <f t="shared" si="7"/>
        <v>162</v>
      </c>
      <c r="AJ13" s="184">
        <f t="shared" si="7"/>
        <v>38</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1460</v>
      </c>
      <c r="AZ13" s="184">
        <f>SUBTOTAL(9,AZ8:AZ12)</f>
        <v>2038</v>
      </c>
      <c r="BA13" s="184">
        <f>SUBTOTAL(9,BA8:BA12)</f>
        <v>1940</v>
      </c>
      <c r="BB13" s="184">
        <f>SUBTOTAL(9,BB8:BB12)</f>
        <v>1458</v>
      </c>
      <c r="BC13" s="184">
        <f>SUBTOTAL(9,BC8:BC12)</f>
        <v>590</v>
      </c>
      <c r="BD13" s="205">
        <f>IF(ISNUMBER(BA13/AZ13),BA13/AZ13," - ")</f>
        <v>0.9519136408243376</v>
      </c>
      <c r="BE13" s="206">
        <f>IF(ISNUMBER(BB13/BA13),BB13/BA13, " - ")</f>
        <v>0.75154639175257731</v>
      </c>
      <c r="BF13" s="206">
        <f>IF(ISNUMBER(BC13/BA13),BC13/BA13, " - ")</f>
        <v>0.30412371134020616</v>
      </c>
      <c r="BG13" s="207">
        <f>IF(ISNUMBER((AY13+AZ13)/BA13),(AY13+AZ13)/BA13," - ")</f>
        <v>1.8030927835051547</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1204</v>
      </c>
      <c r="J16" s="183">
        <v>2437</v>
      </c>
      <c r="K16" s="183">
        <v>2086</v>
      </c>
      <c r="L16" s="183">
        <v>1503</v>
      </c>
      <c r="M16" s="183">
        <v>447</v>
      </c>
      <c r="N16" s="183">
        <v>967</v>
      </c>
      <c r="O16" s="181">
        <v>0</v>
      </c>
      <c r="P16" s="183">
        <v>65</v>
      </c>
      <c r="Q16" s="183">
        <v>96</v>
      </c>
      <c r="R16" s="183">
        <v>119</v>
      </c>
      <c r="S16" s="183">
        <v>1383</v>
      </c>
      <c r="T16" s="183">
        <v>2231</v>
      </c>
      <c r="U16" s="183">
        <v>2259</v>
      </c>
      <c r="V16" s="183">
        <v>1204</v>
      </c>
      <c r="W16" s="183">
        <v>431</v>
      </c>
      <c r="X16" s="189">
        <v>1039</v>
      </c>
      <c r="Y16" s="202">
        <v>0</v>
      </c>
      <c r="Z16" s="183">
        <v>0</v>
      </c>
      <c r="AA16" s="183">
        <v>0</v>
      </c>
      <c r="AB16" s="183">
        <v>0</v>
      </c>
      <c r="AC16" s="183">
        <v>3</v>
      </c>
      <c r="AD16" s="183">
        <v>5</v>
      </c>
      <c r="AE16" s="183">
        <v>8</v>
      </c>
      <c r="AF16" s="189">
        <v>0</v>
      </c>
      <c r="AG16" s="202">
        <v>0</v>
      </c>
      <c r="AH16" s="183">
        <v>0</v>
      </c>
      <c r="AI16" s="183">
        <v>0</v>
      </c>
      <c r="AJ16" s="203">
        <v>0</v>
      </c>
      <c r="AK16" s="182">
        <v>9</v>
      </c>
      <c r="AL16" s="183">
        <v>8</v>
      </c>
      <c r="AM16" s="183">
        <v>14</v>
      </c>
      <c r="AN16" s="189">
        <v>3</v>
      </c>
      <c r="AO16" s="259">
        <v>4</v>
      </c>
      <c r="AP16" s="155">
        <v>4</v>
      </c>
      <c r="AQ16" s="155">
        <v>4</v>
      </c>
      <c r="AR16" s="155">
        <v>4</v>
      </c>
      <c r="AS16" s="340" t="s">
        <v>487</v>
      </c>
      <c r="AT16" s="203"/>
      <c r="AU16" s="202"/>
      <c r="AV16" s="203"/>
      <c r="AW16" s="202"/>
      <c r="AX16" s="203"/>
      <c r="AY16" s="126">
        <f t="shared" si="9"/>
        <v>1383</v>
      </c>
      <c r="AZ16" s="127">
        <f t="shared" si="9"/>
        <v>2231</v>
      </c>
      <c r="BA16" s="127">
        <f t="shared" si="9"/>
        <v>2259</v>
      </c>
      <c r="BB16" s="127">
        <f t="shared" si="9"/>
        <v>1204</v>
      </c>
      <c r="BC16" s="125">
        <f>IF(ISNUMBER(W16),W16," - ")</f>
        <v>431</v>
      </c>
      <c r="BD16" s="126">
        <f t="shared" ref="BD16" si="11">IF(ISNUMBER(BA16/AZ16),BA16/AZ16," - ")</f>
        <v>1.0125504258180189</v>
      </c>
      <c r="BE16" s="127">
        <f t="shared" ref="BE16" si="12">IF(ISNUMBER(BB16/BA16),BB16/BA16, " - ")</f>
        <v>0.53297919433377605</v>
      </c>
      <c r="BF16" s="127">
        <f t="shared" ref="BF16" si="13">IF(ISNUMBER(BC16/BA16),BC16/BA16, " - ")</f>
        <v>0.19079238601150952</v>
      </c>
      <c r="BG16" s="196">
        <f t="shared" si="10"/>
        <v>1.5998229305002214</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148</v>
      </c>
      <c r="J17" s="183">
        <v>310</v>
      </c>
      <c r="K17" s="183">
        <v>307</v>
      </c>
      <c r="L17" s="183">
        <v>143</v>
      </c>
      <c r="M17" s="183">
        <v>54</v>
      </c>
      <c r="N17" s="183">
        <v>139</v>
      </c>
      <c r="O17" s="183">
        <v>0</v>
      </c>
      <c r="P17" s="183">
        <v>0</v>
      </c>
      <c r="Q17" s="183">
        <v>0</v>
      </c>
      <c r="R17" s="183">
        <v>0</v>
      </c>
      <c r="S17" s="183">
        <v>138</v>
      </c>
      <c r="T17" s="183">
        <v>286</v>
      </c>
      <c r="U17" s="183">
        <v>276</v>
      </c>
      <c r="V17" s="183">
        <v>148</v>
      </c>
      <c r="W17" s="183">
        <v>52</v>
      </c>
      <c r="X17" s="189">
        <v>97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138</v>
      </c>
      <c r="AZ17" s="129">
        <f t="shared" si="14"/>
        <v>286</v>
      </c>
      <c r="BA17" s="129">
        <f t="shared" si="14"/>
        <v>276</v>
      </c>
      <c r="BB17" s="129">
        <f t="shared" si="14"/>
        <v>148</v>
      </c>
      <c r="BC17" s="125">
        <f>IF(ISNUMBER(W17),W17," - ")</f>
        <v>52</v>
      </c>
      <c r="BD17" s="126">
        <f>IF(ISNUMBER(BA17/AZ17),BA17/AZ17," - ")</f>
        <v>0.965034965034965</v>
      </c>
      <c r="BE17" s="127">
        <f>IF(ISNUMBER(BB17/BA17),BB17/BA17, " - ")</f>
        <v>0.53623188405797106</v>
      </c>
      <c r="BF17" s="127">
        <f>IF(ISNUMBER(BC17/BA17),BC17/BA17, " - ")</f>
        <v>0.18840579710144928</v>
      </c>
      <c r="BG17" s="196">
        <f>IF(ISNUMBER((AY17+AZ17)/BA17),(AY17+AZ17)/BA17," - ")</f>
        <v>1.536231884057971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1352</v>
      </c>
      <c r="J18" s="184">
        <f t="shared" si="15"/>
        <v>2747</v>
      </c>
      <c r="K18" s="184">
        <f t="shared" si="15"/>
        <v>2393</v>
      </c>
      <c r="L18" s="184">
        <f t="shared" si="15"/>
        <v>1646</v>
      </c>
      <c r="M18" s="184">
        <f t="shared" si="15"/>
        <v>501</v>
      </c>
      <c r="N18" s="184">
        <f t="shared" si="15"/>
        <v>1106</v>
      </c>
      <c r="O18" s="184">
        <f t="shared" si="15"/>
        <v>0</v>
      </c>
      <c r="P18" s="184">
        <f t="shared" si="15"/>
        <v>65</v>
      </c>
      <c r="Q18" s="184">
        <f t="shared" si="15"/>
        <v>96</v>
      </c>
      <c r="R18" s="184">
        <f t="shared" si="15"/>
        <v>119</v>
      </c>
      <c r="S18" s="184">
        <f t="shared" si="15"/>
        <v>1521</v>
      </c>
      <c r="T18" s="184">
        <f t="shared" si="15"/>
        <v>2517</v>
      </c>
      <c r="U18" s="184">
        <f t="shared" si="15"/>
        <v>2535</v>
      </c>
      <c r="V18" s="184">
        <f t="shared" si="15"/>
        <v>1352</v>
      </c>
      <c r="W18" s="184">
        <f t="shared" si="15"/>
        <v>483</v>
      </c>
      <c r="X18" s="184">
        <f t="shared" si="15"/>
        <v>1136</v>
      </c>
      <c r="Y18" s="184">
        <f t="shared" si="15"/>
        <v>0</v>
      </c>
      <c r="Z18" s="184">
        <f t="shared" si="15"/>
        <v>0</v>
      </c>
      <c r="AA18" s="184">
        <f t="shared" si="15"/>
        <v>0</v>
      </c>
      <c r="AB18" s="184">
        <f t="shared" si="15"/>
        <v>0</v>
      </c>
      <c r="AC18" s="184">
        <f t="shared" si="15"/>
        <v>3</v>
      </c>
      <c r="AD18" s="184">
        <f t="shared" si="15"/>
        <v>5</v>
      </c>
      <c r="AE18" s="184">
        <f t="shared" si="15"/>
        <v>8</v>
      </c>
      <c r="AF18" s="184">
        <f t="shared" si="15"/>
        <v>0</v>
      </c>
      <c r="AG18" s="184">
        <f t="shared" si="15"/>
        <v>0</v>
      </c>
      <c r="AH18" s="184">
        <f t="shared" si="15"/>
        <v>0</v>
      </c>
      <c r="AI18" s="184">
        <f t="shared" si="15"/>
        <v>0</v>
      </c>
      <c r="AJ18" s="184">
        <f t="shared" si="15"/>
        <v>0</v>
      </c>
      <c r="AK18" s="184">
        <f t="shared" si="15"/>
        <v>9</v>
      </c>
      <c r="AL18" s="184">
        <f t="shared" si="15"/>
        <v>8</v>
      </c>
      <c r="AM18" s="184">
        <f t="shared" si="15"/>
        <v>14</v>
      </c>
      <c r="AN18" s="184">
        <f t="shared" si="15"/>
        <v>3</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1521</v>
      </c>
      <c r="AZ18" s="184">
        <f>SUBTOTAL(9,AZ14:AZ17)</f>
        <v>2517</v>
      </c>
      <c r="BA18" s="184">
        <f>SUBTOTAL(9,BA14:BA17)</f>
        <v>2535</v>
      </c>
      <c r="BB18" s="184">
        <f>SUBTOTAL(9,BB14:BB17)</f>
        <v>1352</v>
      </c>
      <c r="BC18" s="184">
        <f>SUBTOTAL(9,BC14:BC17)</f>
        <v>483</v>
      </c>
      <c r="BD18" s="205">
        <f>IF(ISNUMBER(BA18/AZ18),BA18/AZ18," - ")</f>
        <v>1.0071513706793802</v>
      </c>
      <c r="BE18" s="206">
        <f>IF(ISNUMBER(BB18/BA18),BB18/BA18, " - ")</f>
        <v>0.53333333333333333</v>
      </c>
      <c r="BF18" s="206">
        <f>IF(ISNUMBER(BC18/BA18),BC18/BA18, " - ")</f>
        <v>0.19053254437869824</v>
      </c>
      <c r="BG18" s="207">
        <f>IF(ISNUMBER((AY18+AZ18)/BA18),(AY18+AZ18)/BA18," - ")</f>
        <v>1.5928994082840238</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2772</v>
      </c>
      <c r="J19" s="134">
        <f t="shared" si="18"/>
        <v>4932</v>
      </c>
      <c r="K19" s="134">
        <f t="shared" si="18"/>
        <v>4605</v>
      </c>
      <c r="L19" s="134">
        <f t="shared" si="18"/>
        <v>3031</v>
      </c>
      <c r="M19" s="134">
        <f t="shared" si="18"/>
        <v>1167</v>
      </c>
      <c r="N19" s="134">
        <f t="shared" si="18"/>
        <v>1919</v>
      </c>
      <c r="O19" s="134">
        <f t="shared" si="18"/>
        <v>598</v>
      </c>
      <c r="P19" s="134">
        <f t="shared" si="18"/>
        <v>519</v>
      </c>
      <c r="Q19" s="134">
        <f t="shared" si="18"/>
        <v>771</v>
      </c>
      <c r="R19" s="134">
        <f t="shared" si="18"/>
        <v>942</v>
      </c>
      <c r="S19" s="134">
        <f t="shared" si="18"/>
        <v>2915</v>
      </c>
      <c r="T19" s="134">
        <f t="shared" si="18"/>
        <v>4426</v>
      </c>
      <c r="U19" s="134">
        <f t="shared" si="18"/>
        <v>4313</v>
      </c>
      <c r="V19" s="134">
        <f t="shared" si="18"/>
        <v>2772</v>
      </c>
      <c r="W19" s="134">
        <f t="shared" si="18"/>
        <v>1047</v>
      </c>
      <c r="X19" s="134">
        <f t="shared" si="18"/>
        <v>1711</v>
      </c>
      <c r="Y19" s="134">
        <f t="shared" si="18"/>
        <v>38</v>
      </c>
      <c r="Z19" s="134">
        <f t="shared" si="18"/>
        <v>142</v>
      </c>
      <c r="AA19" s="134">
        <f t="shared" si="18"/>
        <v>128</v>
      </c>
      <c r="AB19" s="134">
        <f t="shared" si="18"/>
        <v>34</v>
      </c>
      <c r="AC19" s="134">
        <f t="shared" si="18"/>
        <v>3</v>
      </c>
      <c r="AD19" s="134">
        <f t="shared" si="18"/>
        <v>5</v>
      </c>
      <c r="AE19" s="134">
        <f t="shared" si="18"/>
        <v>8</v>
      </c>
      <c r="AF19" s="134">
        <f t="shared" si="18"/>
        <v>0</v>
      </c>
      <c r="AG19" s="134">
        <f t="shared" si="18"/>
        <v>66</v>
      </c>
      <c r="AH19" s="134">
        <f t="shared" si="18"/>
        <v>129</v>
      </c>
      <c r="AI19" s="134">
        <f t="shared" si="18"/>
        <v>162</v>
      </c>
      <c r="AJ19" s="134">
        <f t="shared" si="18"/>
        <v>38</v>
      </c>
      <c r="AK19" s="134">
        <f t="shared" si="18"/>
        <v>9</v>
      </c>
      <c r="AL19" s="134">
        <f t="shared" si="18"/>
        <v>8</v>
      </c>
      <c r="AM19" s="134">
        <f t="shared" si="18"/>
        <v>14</v>
      </c>
      <c r="AN19" s="210">
        <f t="shared" si="18"/>
        <v>3</v>
      </c>
      <c r="AO19" s="211">
        <v>5</v>
      </c>
      <c r="AP19" s="211">
        <v>4</v>
      </c>
      <c r="AQ19" s="211">
        <v>4</v>
      </c>
      <c r="AR19" s="211">
        <v>4</v>
      </c>
      <c r="AS19" s="153">
        <f t="shared" si="18"/>
        <v>0</v>
      </c>
      <c r="AT19" s="153">
        <f t="shared" si="18"/>
        <v>0</v>
      </c>
      <c r="AU19" s="211"/>
      <c r="AV19" s="212"/>
      <c r="AW19" s="211"/>
      <c r="AX19" s="212"/>
      <c r="AY19" s="133">
        <f>SUBTOTAL(9,AY9:AY18)</f>
        <v>2981</v>
      </c>
      <c r="AZ19" s="134">
        <f>SUBTOTAL(9,AZ9:AZ18)</f>
        <v>4555</v>
      </c>
      <c r="BA19" s="134">
        <f>SUBTOTAL(9,BA9:BA18)</f>
        <v>4475</v>
      </c>
      <c r="BB19" s="134">
        <f>SUBTOTAL(9,BB9:BB18)</f>
        <v>2810</v>
      </c>
      <c r="BC19" s="135">
        <f>SUBTOTAL(9,BC9:BC18)</f>
        <v>1073</v>
      </c>
      <c r="BD19" s="213">
        <f>IF(ISNUMBER(BA19/AZ19),BA19/AZ19," - ")</f>
        <v>0.98243688254665207</v>
      </c>
      <c r="BE19" s="210">
        <f>IF(ISNUMBER(BB19/BA19),BB19/BA19, " - ")</f>
        <v>0.62793296089385475</v>
      </c>
      <c r="BF19" s="210">
        <f>IF(ISNUMBER(BC19/BA19),BC19/BA19, " - ")</f>
        <v>0.23977653631284918</v>
      </c>
      <c r="BG19" s="135">
        <f>IF(ISNUMBER((AY19+AZ19)/BA19),(AY19+AZ19)/BA19," - ")</f>
        <v>1.6840223463687152</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MtJ98XT8pFqjwYC0w9gy96GEtZ8XyjZMB1TW66xfGwWog1muMk0ucCq44T7SD4cm6NNsFs8fA+T6KL6BU/SLQ==" saltValue="1N6TDvLOC1BroLBtsIEbN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GZWVh9xeh1HJRK5ul8Qr5QMiEpRWRaH3PsPe/7LwGK4ckynSGMkGltYC7fvhgyM98VI2mNFkbkVdo9BXfmjfQ==" saltValue="Kh7m6cAY2wkpfPdpx1dGw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PAIS VASCO</v>
      </c>
    </row>
    <row r="2" spans="1:78" ht="16.5" customHeight="1">
      <c r="C2" s="488" t="str">
        <f>Criterios!A10 &amp;"  "&amp;Criterios!B10 &amp; "  " &amp; IF(NOT(ISBLANK(Criterios!A11)),Criterios!A11 &amp;"  "&amp;Criterios!B11,"")</f>
        <v>Provincias  GIPUZKOA  Resumenes por Partidos Judiciales  TOLOSA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50</v>
      </c>
      <c r="G10" s="333">
        <f>IF(ISNUMBER(Datos!I10),Datos!I10," - ")</f>
        <v>57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58</v>
      </c>
      <c r="AC10" s="226">
        <f>IF(ISNUMBER(Datos!Q10),Datos!Q10," - ")</f>
        <v>20</v>
      </c>
      <c r="AD10" s="334"/>
      <c r="AE10" s="484"/>
      <c r="AF10" s="332">
        <f>IF(ISNUMBER(Datos!L10),Datos!L10,"-")</f>
        <v>38</v>
      </c>
      <c r="AG10" s="334"/>
      <c r="AH10" s="334"/>
      <c r="AI10" s="334"/>
      <c r="AJ10" s="334"/>
      <c r="AK10" s="334"/>
      <c r="AL10" s="479"/>
      <c r="AM10" s="335">
        <f>IF(ISNUMBER(Datos!R10),Datos!R10," - ")</f>
        <v>24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34</v>
      </c>
      <c r="BD10" s="229">
        <f>IF(ISNUMBER(Datos!N10),Datos!N10," - ")</f>
        <v>11</v>
      </c>
      <c r="BE10" s="229" t="str">
        <f>IF(ISNUMBER(Datos!BW10),Datos!BW10," - ")</f>
        <v xml:space="preserve"> - </v>
      </c>
      <c r="BF10" s="228" t="str">
        <f>IF(ISNUMBER(Datos!BX10),Datos!BX10," - ")</f>
        <v xml:space="preserve"> - </v>
      </c>
      <c r="BG10" s="243">
        <f>IF(ISNUMBER(Datos!K10/Datos!J10),Datos!K10/Datos!J10," - ")</f>
        <v>1.2608695652173914</v>
      </c>
      <c r="BH10" s="260">
        <f>IF(ISNUMBER(((Datos!L10/Datos!K10)*11)/factor_trimestre),((Datos!L10/Datos!K10)*11)/factor_trimestre," - ")</f>
        <v>7.2068965517241379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-0.29411764705882354</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142</v>
      </c>
      <c r="O12" s="334"/>
      <c r="P12" s="334"/>
      <c r="Q12" s="226">
        <f>IF(ISNUMBER(Datos!P12),Datos!P12,0)</f>
        <v>444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655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34</v>
      </c>
      <c r="AI12" s="334" t="str">
        <f>IF(ISNUMBER(Datos!CD12),Datos!CD12,"-")</f>
        <v>-</v>
      </c>
      <c r="AJ12" s="334" t="str">
        <f>IF(ISNUMBER(Datos!EN12),Datos!EN12," - ")</f>
        <v xml:space="preserve"> - </v>
      </c>
      <c r="AK12" s="334"/>
      <c r="AL12" s="479"/>
      <c r="AM12" s="335">
        <f>IF(ISNUMBER(Datos!R12),Datos!R12," - ")</f>
        <v>799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632</v>
      </c>
      <c r="BD12" s="229">
        <f>IF(ISNUMBER(Datos!N12),Datos!N12," - ")</f>
        <v>802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1.0004384042086805</v>
      </c>
      <c r="BH12" s="260">
        <f>IF(ISNUMBER(((IF(J_V="SI",Datos!L12/Datos!K12,(Datos!L12+Datos!AB12)/(Datos!K12+Datos!AA12)))*11)/factor_trimestre),((IF(J_V="SI",Datos!L12/Datos!K12,(Datos!L12+Datos!AB12)/(Datos!K12+Datos!AA12)))*11)/factor_trimestre," - ")</f>
        <v>6.656879929886065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-0.2089108910891089</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4</v>
      </c>
      <c r="F13" s="898">
        <f t="shared" si="0"/>
        <v>50</v>
      </c>
      <c r="G13" s="898">
        <f t="shared" si="0"/>
        <v>57</v>
      </c>
      <c r="H13" s="899">
        <f t="shared" si="0"/>
        <v>0</v>
      </c>
      <c r="I13" s="898">
        <f t="shared" si="0"/>
        <v>0</v>
      </c>
      <c r="J13" s="867">
        <f t="shared" si="0"/>
        <v>0</v>
      </c>
      <c r="K13" s="867">
        <f t="shared" si="0"/>
        <v>0</v>
      </c>
      <c r="L13" s="899">
        <f t="shared" si="0"/>
        <v>0</v>
      </c>
      <c r="M13" s="899">
        <f t="shared" si="0"/>
        <v>0</v>
      </c>
      <c r="N13" s="899">
        <f t="shared" si="0"/>
        <v>142</v>
      </c>
      <c r="O13" s="900">
        <f t="shared" si="0"/>
        <v>0</v>
      </c>
      <c r="P13" s="900">
        <f t="shared" si="0"/>
        <v>0</v>
      </c>
      <c r="Q13" s="899">
        <f t="shared" si="0"/>
        <v>454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58</v>
      </c>
      <c r="AC13" s="899">
        <f t="shared" si="1"/>
        <v>675</v>
      </c>
      <c r="AD13" s="899">
        <f t="shared" si="1"/>
        <v>0</v>
      </c>
      <c r="AE13" s="899">
        <f t="shared" si="1"/>
        <v>0</v>
      </c>
      <c r="AF13" s="899">
        <f t="shared" si="1"/>
        <v>38</v>
      </c>
      <c r="AG13" s="899">
        <f t="shared" si="1"/>
        <v>0</v>
      </c>
      <c r="AH13" s="899">
        <f t="shared" si="1"/>
        <v>34</v>
      </c>
      <c r="AI13" s="899">
        <f t="shared" si="1"/>
        <v>0</v>
      </c>
      <c r="AJ13" s="899">
        <f t="shared" si="1"/>
        <v>0</v>
      </c>
      <c r="AK13" s="899">
        <f t="shared" si="1"/>
        <v>0</v>
      </c>
      <c r="AL13" s="899">
        <f t="shared" si="1"/>
        <v>0</v>
      </c>
      <c r="AM13" s="899">
        <f t="shared" si="1"/>
        <v>823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666</v>
      </c>
      <c r="BD13" s="899">
        <f t="shared" si="1"/>
        <v>813</v>
      </c>
      <c r="BE13" s="899">
        <f t="shared" si="1"/>
        <v>0</v>
      </c>
      <c r="BF13" s="899">
        <f t="shared" si="1"/>
        <v>0</v>
      </c>
      <c r="BG13" s="899">
        <f>IF(ISNUMBER(Datos!K13/Datos!J13),Datos!K13/Datos!J13," - ")</f>
        <v>1.0123569794050342</v>
      </c>
      <c r="BH13" s="903">
        <f>IF(ISNUMBER(((Datos!L13/Datos!K13)*11)/factor_trimestre),((Datos!L13/Datos!K13)*11)/factor_trimestre," - ")</f>
        <v>6.8874321880650999</v>
      </c>
      <c r="BI13" s="899">
        <f>IF(ISNUMBER('Resol  Asuntos'!D13/NºAsuntos!G13),'Resol  Asuntos'!D13/NºAsuntos!G13," - ")</f>
        <v>0.2846153846153846</v>
      </c>
      <c r="BJ13" s="899" t="str">
        <f>IF(ISNUMBER(Datos!CI13/Datos!CJ13),Datos!CI13/Datos!CJ13," - ")</f>
        <v xml:space="preserve"> - </v>
      </c>
      <c r="BK13" s="899">
        <f>SUBTOTAL(9,BK8:BK12)</f>
        <v>0</v>
      </c>
      <c r="BL13" s="899">
        <f>IF(ISNUMBER((I13-AB13+L13)/(F13)),(I13-AB13+L13)/(F13)," - ")</f>
        <v>-1.1599999999999999</v>
      </c>
      <c r="BM13" s="904">
        <f>SUBTOTAL(9,BM9:BM12)</f>
        <v>-0.50302853814793247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1152</v>
      </c>
      <c r="G16" s="598">
        <f>IF(ISNUMBER(IF(D_I="SI",Datos!I16,Datos!I16+Datos!AC16)),IF(D_I="SI",Datos!I16,Datos!I16+Datos!AC16)," - ")</f>
        <v>1204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2086</v>
      </c>
      <c r="AC16" s="226">
        <f>IF(ISNUMBER(Datos!Q16),Datos!Q16," - ")</f>
        <v>96</v>
      </c>
      <c r="AD16" s="334"/>
      <c r="AE16" s="484"/>
      <c r="AF16" s="596">
        <f>IF(ISNUMBER(IF(D_I="SI",Datos!L16,Datos!L16+Datos!AF16)),IF(D_I="SI",Datos!L16,Datos!L16+Datos!AF16)," - ")</f>
        <v>1503</v>
      </c>
      <c r="AG16" s="334"/>
      <c r="AH16" s="334"/>
      <c r="AI16" s="334"/>
      <c r="AJ16" s="334"/>
      <c r="AK16" s="334"/>
      <c r="AL16" s="479"/>
      <c r="AM16" s="335">
        <f>IF(ISNUMBER(Datos!R16),Datos!R16," - ")</f>
        <v>119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447</v>
      </c>
      <c r="BD16" s="229">
        <f>IF(ISNUMBER(Datos!N16),Datos!N16," - ")</f>
        <v>967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0.85597045547804673</v>
      </c>
      <c r="BH16" s="260">
        <f>IF(ISNUMBER(((IF(D_I="SI",Datos!L16/Datos!K16,(Datos!L16+Datos!AF16)/(Datos!K16+Datos!AE16)))*11)/factor_trimestre),((IF(D_I="SI",Datos!L16/Datos!K16,(Datos!L16+Datos!AF16)/(Datos!K16+Datos!AE16)))*11)/factor_trimestre," - ")</f>
        <v>7.9256951102588689</v>
      </c>
      <c r="BI16" s="243">
        <f>IF(ISNUMBER('Resol  Asuntos'!D16/NºAsuntos!G16),'Resol  Asuntos'!D16/NºAsuntos!G16," - ")</f>
        <v>0.21428571428571427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148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307</v>
      </c>
      <c r="AC17" s="226">
        <f>IF(ISNUMBER(Datos!Q17),Datos!Q17," - ")</f>
        <v>0</v>
      </c>
      <c r="AD17" s="334"/>
      <c r="AE17" s="484"/>
      <c r="AF17" s="332">
        <f>IF(ISNUMBER(Datos!L17),Datos!L17,"-")</f>
        <v>143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54</v>
      </c>
      <c r="BD17" s="229">
        <f>IF(ISNUMBER(Datos!N17),Datos!N17," - ")</f>
        <v>139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0.99032258064516132</v>
      </c>
      <c r="BH17" s="260">
        <f>IF(ISNUMBER(((IF(D_I="SI",Datos!L17/Datos!K17,(Datos!L17+Datos!AF17)/(Datos!K17+Datos!AE17)))*11)/factor_trimestre),((IF(D_I="SI",Datos!L17/Datos!K17,(Datos!L17+Datos!AF17)/(Datos!K17+Datos!AE17)))*11)/factor_trimestre," - ")</f>
        <v>5.1237785016286646</v>
      </c>
      <c r="BI17" s="243">
        <f>IF(ISNUMBER('Resol  Asuntos'!D17/NºAsuntos!G17),'Resol  Asuntos'!D17/NºAsuntos!G17," - ")</f>
        <v>0.1758957654723127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4</v>
      </c>
      <c r="F18" s="898">
        <f>SUBTOTAL(9,F15:F17)</f>
        <v>1152</v>
      </c>
      <c r="G18" s="898">
        <f>SUBTOTAL(9,G15:G17)</f>
        <v>1352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2393</v>
      </c>
      <c r="AC18" s="899">
        <f t="shared" si="4"/>
        <v>96</v>
      </c>
      <c r="AD18" s="899">
        <f t="shared" si="4"/>
        <v>0</v>
      </c>
      <c r="AE18" s="899">
        <f t="shared" si="4"/>
        <v>0</v>
      </c>
      <c r="AF18" s="899">
        <f t="shared" si="4"/>
        <v>1646</v>
      </c>
      <c r="AG18" s="899">
        <f t="shared" si="4"/>
        <v>0</v>
      </c>
      <c r="AH18" s="899">
        <f t="shared" si="4"/>
        <v>0</v>
      </c>
      <c r="AI18" s="899">
        <f t="shared" si="4"/>
        <v>0</v>
      </c>
      <c r="AJ18" s="899">
        <f t="shared" si="4"/>
        <v>0</v>
      </c>
      <c r="AK18" s="899">
        <f t="shared" si="4"/>
        <v>0</v>
      </c>
      <c r="AL18" s="899">
        <f t="shared" si="4"/>
        <v>0</v>
      </c>
      <c r="AM18" s="899">
        <f t="shared" si="4"/>
        <v>119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501</v>
      </c>
      <c r="BD18" s="899">
        <f t="shared" si="4"/>
        <v>1106</v>
      </c>
      <c r="BE18" s="899">
        <f t="shared" si="4"/>
        <v>0</v>
      </c>
      <c r="BF18" s="899">
        <f t="shared" si="4"/>
        <v>0</v>
      </c>
      <c r="BG18" s="899">
        <f>IF(ISNUMBER(Datos!K18/Datos!J18),Datos!K18/Datos!J18," - ")</f>
        <v>0.87113214415726248</v>
      </c>
      <c r="BH18" s="903">
        <f>IF(ISNUMBER(((Datos!L18/Datos!K18)*11)/factor_trimestre),((Datos!L18/Datos!K18)*11)/factor_trimestre," - ")</f>
        <v>7.5662348516506475</v>
      </c>
      <c r="BI18" s="899">
        <f>SUBTOTAL(9,BI15:BI17)</f>
        <v>0.39018147975802697</v>
      </c>
      <c r="BJ18" s="899">
        <f>SUBTOTAL(9,BJ15:BJ17)</f>
        <v>0</v>
      </c>
      <c r="BK18" s="899">
        <f>SUBTOTAL(9,BK15:BK17)</f>
        <v>0</v>
      </c>
      <c r="BL18" s="899">
        <f>IF(ISNUMBER((I18-AB18+L18)/(F18)),(I18-AB18+L18)/(F18)," - ")</f>
        <v>-2.0772569444444446</v>
      </c>
      <c r="BM18" s="905">
        <f>IF(ISNUMBER((Datos!P18-Datos!Q18)/(Datos!R18-Datos!P18+Datos!Q18)),(Datos!P18-Datos!Q18)/(Datos!R18-Datos!P18+Datos!Q18)," - ")</f>
        <v>-0.20666666666666667</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8</v>
      </c>
      <c r="F19" s="820">
        <f t="shared" si="6"/>
        <v>1202</v>
      </c>
      <c r="G19" s="820">
        <f t="shared" si="6"/>
        <v>1409</v>
      </c>
      <c r="H19" s="822">
        <f t="shared" si="6"/>
        <v>0</v>
      </c>
      <c r="I19" s="820">
        <f t="shared" si="6"/>
        <v>0</v>
      </c>
      <c r="J19" s="822">
        <f t="shared" si="6"/>
        <v>0</v>
      </c>
      <c r="K19" s="822">
        <f t="shared" si="6"/>
        <v>0</v>
      </c>
      <c r="L19" s="881">
        <f t="shared" si="6"/>
        <v>0</v>
      </c>
      <c r="M19" s="881">
        <f t="shared" si="6"/>
        <v>0</v>
      </c>
      <c r="N19" s="881">
        <f t="shared" si="6"/>
        <v>142</v>
      </c>
      <c r="O19" s="881">
        <f t="shared" si="6"/>
        <v>0</v>
      </c>
      <c r="P19" s="881">
        <f t="shared" si="6"/>
        <v>0</v>
      </c>
      <c r="Q19" s="822">
        <f t="shared" si="6"/>
        <v>519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2451</v>
      </c>
      <c r="AC19" s="821">
        <f t="shared" si="7"/>
        <v>771</v>
      </c>
      <c r="AD19" s="821">
        <f t="shared" si="7"/>
        <v>0</v>
      </c>
      <c r="AE19" s="821">
        <f t="shared" si="7"/>
        <v>0</v>
      </c>
      <c r="AF19" s="828">
        <f t="shared" si="7"/>
        <v>1684</v>
      </c>
      <c r="AG19" s="828">
        <f t="shared" si="7"/>
        <v>0</v>
      </c>
      <c r="AH19" s="828">
        <f t="shared" si="7"/>
        <v>34</v>
      </c>
      <c r="AI19" s="828">
        <f t="shared" si="7"/>
        <v>0</v>
      </c>
      <c r="AJ19" s="821">
        <f t="shared" si="7"/>
        <v>0</v>
      </c>
      <c r="AK19" s="828">
        <f t="shared" si="7"/>
        <v>0</v>
      </c>
      <c r="AL19" s="828">
        <f t="shared" si="7"/>
        <v>0</v>
      </c>
      <c r="AM19" s="828">
        <f t="shared" si="7"/>
        <v>942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1167</v>
      </c>
      <c r="BD19" s="820">
        <f t="shared" si="7"/>
        <v>1919</v>
      </c>
      <c r="BE19" s="820">
        <f t="shared" si="7"/>
        <v>0</v>
      </c>
      <c r="BF19" s="830">
        <f t="shared" si="7"/>
        <v>0</v>
      </c>
      <c r="BG19" s="915">
        <f>IF(ISNUMBER(Datos!K19/Datos!J19),Datos!K19/Datos!J19," - ")</f>
        <v>0.93369829683698302</v>
      </c>
      <c r="BH19" s="915">
        <f>IF(ISNUMBER(((Datos!L19/Datos!K19)*11)/factor_trimestre),((Datos!L19/Datos!K19)*11)/factor_trimestre," - ")</f>
        <v>7.2401737242128128</v>
      </c>
      <c r="BI19" s="813">
        <f>IF(ISNUMBER(Datos!J19/Datos!I19),Datos!J19/Datos!I19," - ")</f>
        <v>1.7792207792207793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-2.0391014975041597</v>
      </c>
      <c r="BM19" s="889">
        <f>IF(ISNUMBER((Datos!P19-Datos!Q19+R19)/(Datos!R19-Datos!P19+Datos!Q19-R19)),(Datos!P19-Datos!Q19+R19)/(Datos!R19-Datos!P19+Datos!Q19-R19)," - ")</f>
        <v>-0.21105527638190955</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563.6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636.2399966469676</v>
      </c>
      <c r="G21" s="552">
        <f>IF(ISNUMBER(STDEV(G8:G18)),STDEV(G8:G18),"-")</f>
        <v>655.30473827067658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1158.9759704152627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279.26188425920213</v>
      </c>
      <c r="BD21" s="551"/>
      <c r="BE21" s="551">
        <f>IF(ISNUMBER(STDEV(BE8:BE18)),STDEV(BE8:BE18),"-")</f>
        <v>0</v>
      </c>
      <c r="BF21" s="556">
        <f>IF(ISNUMBER(STDEV(BF8:BF18)),STDEV(BF8:BF18),"-")</f>
        <v>0</v>
      </c>
      <c r="BG21" s="775">
        <f>IF(ISNUMBER(STDEV(BG8:BG18)),STDEV(BG8:BG18),"-")</f>
        <v>0.14535313731633848</v>
      </c>
      <c r="BH21" s="776">
        <f>IF(ISNUMBER(STDEV(BH8:BH18)),STDEV(BH8:BH18),"-")</f>
        <v>0.98021941902917575</v>
      </c>
      <c r="BI21" s="249">
        <f>IF(ISNUMBER(STDEV(BI8:BI18)),STDEV(BI8:BI18),"-")</f>
        <v>9.4092992294363451E-2</v>
      </c>
      <c r="BJ21" s="230" t="str">
        <f>IF(ISNUMBER(BL21/BM21),BL21/BM21," - ")</f>
        <v xml:space="preserve"> - </v>
      </c>
      <c r="BK21" s="575"/>
      <c r="BL21" s="559">
        <f>IF(ISNUMBER(STDEV(BL8:BL18)),STDEV(BL8:BL18),"-")</f>
        <v>0.64859860550711834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8zr91O4YjPnjSvSeCkm662CT91scJq0MYfg1BY08iVIKcgZEiZWDCyrlh+7Q/unzbRhX9FdAnc4FyZT5Z8dQAA==" saltValue="rNVFBhCiKcebJhe4pdaa+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PAIS VASCO</v>
      </c>
    </row>
    <row r="2" spans="1:78" ht="16.5" customHeight="1">
      <c r="C2" s="528" t="str">
        <f>Criterios!A10 &amp;"  "&amp;Criterios!B10 &amp; "  " &amp; IF(NOT(ISBLANK(Criterios!A11)),Criterios!A11 &amp;"  "&amp;Criterios!B11,"")</f>
        <v>Provincias  GIPUZKOA  Resumenes por Partidos Judiciales  TOLOSA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50</v>
      </c>
      <c r="G10" s="225">
        <f>IF(ISNUMBER(Datos!I10),Datos!I10," - ")</f>
        <v>57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58</v>
      </c>
      <c r="Z10" s="619">
        <f>IF(ISNUMBER(Datos!Q10),Datos!Q10," - ")</f>
        <v>20</v>
      </c>
      <c r="AA10" s="332">
        <f>IF(ISNUMBER(Datos!L10),Datos!L10,"-")</f>
        <v>38</v>
      </c>
      <c r="AB10" s="334"/>
      <c r="AC10" s="334"/>
      <c r="AD10" s="484"/>
      <c r="AE10" s="484">
        <f>IF(ISNUMBER(Datos!R10),Datos!R10," - ")</f>
        <v>24</v>
      </c>
      <c r="AF10" s="229" t="str">
        <f>IF(ISNUMBER(Datos!BV10),Datos!BV10," - ")</f>
        <v xml:space="preserve"> - </v>
      </c>
      <c r="AG10" s="225" t="str">
        <f>IF(ISNUMBER(Datos!DV10),Datos!DV10," - ")</f>
        <v xml:space="preserve"> - </v>
      </c>
      <c r="AH10" s="298"/>
      <c r="AI10" s="227"/>
      <c r="AJ10" s="225">
        <f>IF(ISNUMBER(Datos!M10),Datos!M10," - ")</f>
        <v>34</v>
      </c>
      <c r="AK10" s="229">
        <f>IF(ISNUMBER(Datos!N10),Datos!N10," - ")</f>
        <v>11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7.2068965517241379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-0.29411764705882354</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444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655</v>
      </c>
      <c r="AA12" s="332" t="str">
        <f>IF(ISNUMBER(IF(J_V="SI",Datos!L12,Datos!L12+Datos!AB12)-IF(Monitorios="SI",Datos!CD12,0)),
                          IF(J_V="SI",Datos!L12,Datos!L12+Datos!AB12)-IF(Monitorios="SI",Datos!CD12,0),
                          " - ")</f>
        <v xml:space="preserve"> - </v>
      </c>
      <c r="AB12" s="334"/>
      <c r="AC12" s="334"/>
      <c r="AD12" s="484"/>
      <c r="AE12" s="484">
        <f>IF(ISNUMBER(Datos!R12),Datos!R12," - ")</f>
        <v>799</v>
      </c>
      <c r="AF12" s="229" t="str">
        <f>IF(ISNUMBER(Datos!BV12),Datos!BV12," - ")</f>
        <v xml:space="preserve"> - </v>
      </c>
      <c r="AG12" s="225" t="str">
        <f>IF(ISNUMBER(Datos!DV12),Datos!DV12," - ")</f>
        <v xml:space="preserve"> - </v>
      </c>
      <c r="AH12" s="298"/>
      <c r="AI12" s="227"/>
      <c r="AJ12" s="225">
        <f>IF(ISNUMBER(Datos!M12),Datos!M12," - ")</f>
        <v>632</v>
      </c>
      <c r="AK12" s="229">
        <f>IF(ISNUMBER(Datos!N12),Datos!N12," - ")</f>
        <v>802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6.656879929886065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-0.2089108910891089</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4</v>
      </c>
      <c r="F13" s="898">
        <f>SUBTOTAL(9,F8:F12)</f>
        <v>50</v>
      </c>
      <c r="G13" s="898">
        <f>SUBTOTAL(9,G8:G12)</f>
        <v>57</v>
      </c>
      <c r="H13" s="908"/>
      <c r="I13" s="898">
        <f t="shared" ref="I13:N13" si="0">SUBTOTAL(9,I8:I12)</f>
        <v>0</v>
      </c>
      <c r="J13" s="867">
        <f t="shared" si="0"/>
        <v>0</v>
      </c>
      <c r="K13" s="908">
        <f t="shared" si="0"/>
        <v>0</v>
      </c>
      <c r="L13" s="908">
        <f t="shared" si="0"/>
        <v>0</v>
      </c>
      <c r="M13" s="908">
        <f t="shared" si="0"/>
        <v>0</v>
      </c>
      <c r="N13" s="908">
        <f t="shared" si="0"/>
        <v>454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58</v>
      </c>
      <c r="Z13" s="907">
        <f t="shared" si="2"/>
        <v>675</v>
      </c>
      <c r="AA13" s="900">
        <f t="shared" si="2"/>
        <v>38</v>
      </c>
      <c r="AB13" s="900">
        <f t="shared" si="2"/>
        <v>0</v>
      </c>
      <c r="AC13" s="900">
        <f t="shared" si="2"/>
        <v>0</v>
      </c>
      <c r="AD13" s="900">
        <f t="shared" si="2"/>
        <v>0</v>
      </c>
      <c r="AE13" s="900">
        <f t="shared" si="2"/>
        <v>823</v>
      </c>
      <c r="AF13" s="908">
        <f t="shared" si="2"/>
        <v>0</v>
      </c>
      <c r="AG13" s="908">
        <f t="shared" si="2"/>
        <v>0</v>
      </c>
      <c r="AH13" s="908">
        <f t="shared" si="2"/>
        <v>0</v>
      </c>
      <c r="AI13" s="908">
        <f t="shared" si="2"/>
        <v>0</v>
      </c>
      <c r="AJ13" s="908">
        <f t="shared" si="2"/>
        <v>666</v>
      </c>
      <c r="AK13" s="908">
        <f t="shared" si="2"/>
        <v>813</v>
      </c>
      <c r="AL13" s="908">
        <f t="shared" si="2"/>
        <v>0</v>
      </c>
      <c r="AM13" s="908">
        <f t="shared" si="2"/>
        <v>0</v>
      </c>
      <c r="AN13" s="908">
        <f t="shared" si="2"/>
        <v>0</v>
      </c>
      <c r="AO13" s="904">
        <f>IF(ISNUMBER(((NºAsuntos!I13/NºAsuntos!G13)*11)/factor_trimestre),((NºAsuntos!I13/NºAsuntos!G13)*11)/factor_trimestre," - ")</f>
        <v>6.6705128205128199</v>
      </c>
      <c r="AP13" s="910" t="str">
        <f>IF(ISNUMBER(Datos!CI13/Datos!CJ13),Datos!CI13/Datos!CJ13," - ")</f>
        <v xml:space="preserve"> - </v>
      </c>
      <c r="AQ13" s="928">
        <f t="shared" ref="AQ13:AV13" si="3">SUBTOTAL(9,AQ9:AQ12)</f>
        <v>0</v>
      </c>
      <c r="AR13" s="928">
        <f t="shared" si="3"/>
        <v>-0.50302853814793247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1152</v>
      </c>
      <c r="G16" s="225">
        <f>IF(ISNUMBER(IF(D_I="SI",Datos!I16,Datos!I16+Datos!AC16)),IF(D_I="SI",Datos!I16,Datos!I16+Datos!AC16)," - ")</f>
        <v>1204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2086</v>
      </c>
      <c r="Z16" s="619">
        <f>IF(ISNUMBER(Datos!Q16),Datos!Q16," - ")</f>
        <v>96</v>
      </c>
      <c r="AA16" s="332">
        <f>IF(ISNUMBER(IF(D_I="SI",Datos!L16,Datos!L16+Datos!AF16)),IF(D_I="SI",Datos!L16,Datos!L16+Datos!AF16)," - ")</f>
        <v>1503</v>
      </c>
      <c r="AB16" s="334"/>
      <c r="AC16" s="334"/>
      <c r="AD16" s="484"/>
      <c r="AE16" s="484">
        <f>IF(ISNUMBER(Datos!R16),Datos!R16," - ")</f>
        <v>119</v>
      </c>
      <c r="AF16" s="229" t="str">
        <f>IF(ISNUMBER(Datos!BV16),Datos!BV16," - ")</f>
        <v xml:space="preserve"> - </v>
      </c>
      <c r="AG16" s="225"/>
      <c r="AH16" s="298"/>
      <c r="AI16" s="227"/>
      <c r="AJ16" s="225">
        <f>IF(ISNUMBER(Datos!M16),Datos!M16," - ")</f>
        <v>447</v>
      </c>
      <c r="AK16" s="229">
        <f>IF(ISNUMBER(Datos!N16),Datos!N16," - ")</f>
        <v>967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7.9256951102588689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148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307</v>
      </c>
      <c r="Z17" s="619">
        <f>IF(ISNUMBER(Datos!Q17),Datos!Q17," - ")</f>
        <v>0</v>
      </c>
      <c r="AA17" s="332">
        <f>IF(ISNUMBER(Datos!L17),Datos!L17,"-")</f>
        <v>143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54</v>
      </c>
      <c r="AK17" s="229">
        <f>IF(ISNUMBER(Datos!N17),Datos!N17," - ")</f>
        <v>139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5.1237785016286646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4</v>
      </c>
      <c r="F18" s="898">
        <f>SUBTOTAL(9,F15:F17)</f>
        <v>1152</v>
      </c>
      <c r="G18" s="898">
        <f>SUBTOTAL(9,G15:G17)</f>
        <v>1352</v>
      </c>
      <c r="H18" s="932">
        <f>SUBTOTAL(9,H15:H17)</f>
        <v>0</v>
      </c>
      <c r="I18" s="911">
        <f>SUBTOTAL(9,I15:I17)</f>
        <v>0</v>
      </c>
      <c r="J18" s="867">
        <f>SUBTOTAL(9,J14:J17)</f>
        <v>0</v>
      </c>
      <c r="K18" s="932">
        <f t="shared" ref="K18:S18" si="4">SUBTOTAL(9,K15:K17)</f>
        <v>0</v>
      </c>
      <c r="L18" s="932">
        <f t="shared" si="4"/>
        <v>0</v>
      </c>
      <c r="M18" s="932">
        <f t="shared" si="4"/>
        <v>0</v>
      </c>
      <c r="N18" s="932">
        <f t="shared" si="4"/>
        <v>65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2393</v>
      </c>
      <c r="Z18" s="932">
        <f t="shared" si="5"/>
        <v>96</v>
      </c>
      <c r="AA18" s="932">
        <f t="shared" si="5"/>
        <v>1646</v>
      </c>
      <c r="AB18" s="932">
        <f t="shared" si="5"/>
        <v>0</v>
      </c>
      <c r="AC18" s="932">
        <f t="shared" si="5"/>
        <v>0</v>
      </c>
      <c r="AD18" s="932">
        <f t="shared" si="5"/>
        <v>0</v>
      </c>
      <c r="AE18" s="932">
        <f t="shared" si="5"/>
        <v>119</v>
      </c>
      <c r="AF18" s="932">
        <f t="shared" si="5"/>
        <v>0</v>
      </c>
      <c r="AG18" s="932">
        <f t="shared" si="5"/>
        <v>0</v>
      </c>
      <c r="AH18" s="932">
        <f t="shared" si="5"/>
        <v>0</v>
      </c>
      <c r="AI18" s="932">
        <f t="shared" si="5"/>
        <v>0</v>
      </c>
      <c r="AJ18" s="932">
        <f t="shared" si="5"/>
        <v>501</v>
      </c>
      <c r="AK18" s="932">
        <f t="shared" si="5"/>
        <v>1106</v>
      </c>
      <c r="AL18" s="932">
        <f t="shared" si="5"/>
        <v>0</v>
      </c>
      <c r="AM18" s="932">
        <f t="shared" si="5"/>
        <v>0</v>
      </c>
      <c r="AN18" s="932">
        <f t="shared" si="5"/>
        <v>0</v>
      </c>
      <c r="AO18" s="934">
        <f>IF(ISNUMBER(((NºAsuntos!I18/NºAsuntos!G18)*11)/factor_trimestre),((NºAsuntos!I18/NºAsuntos!G18)*11)/factor_trimestre," - ")</f>
        <v>7.5662348516506475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1202</v>
      </c>
      <c r="G19" s="820">
        <f t="shared" si="7"/>
        <v>1409</v>
      </c>
      <c r="H19" s="821">
        <f t="shared" si="7"/>
        <v>0</v>
      </c>
      <c r="I19" s="820">
        <f t="shared" si="7"/>
        <v>0</v>
      </c>
      <c r="J19" s="822">
        <f t="shared" si="7"/>
        <v>0</v>
      </c>
      <c r="K19" s="820">
        <f t="shared" si="7"/>
        <v>0</v>
      </c>
      <c r="L19" s="823">
        <f t="shared" si="7"/>
        <v>0</v>
      </c>
      <c r="M19" s="820">
        <f t="shared" si="7"/>
        <v>0</v>
      </c>
      <c r="N19" s="821">
        <f t="shared" si="7"/>
        <v>519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2451</v>
      </c>
      <c r="Z19" s="827">
        <f t="shared" si="8"/>
        <v>771</v>
      </c>
      <c r="AA19" s="828">
        <f t="shared" si="8"/>
        <v>1684</v>
      </c>
      <c r="AB19" s="828">
        <f t="shared" si="8"/>
        <v>0</v>
      </c>
      <c r="AC19" s="828">
        <f t="shared" si="8"/>
        <v>0</v>
      </c>
      <c r="AD19" s="829">
        <f t="shared" si="8"/>
        <v>0</v>
      </c>
      <c r="AE19" s="829">
        <f t="shared" si="8"/>
        <v>942</v>
      </c>
      <c r="AF19" s="830">
        <f t="shared" si="8"/>
        <v>0</v>
      </c>
      <c r="AG19" s="831">
        <f t="shared" si="8"/>
        <v>0</v>
      </c>
      <c r="AH19" s="832">
        <f t="shared" si="8"/>
        <v>0</v>
      </c>
      <c r="AI19" s="830">
        <f t="shared" si="8"/>
        <v>0</v>
      </c>
      <c r="AJ19" s="820">
        <f t="shared" si="8"/>
        <v>1167</v>
      </c>
      <c r="AK19" s="820">
        <f t="shared" si="8"/>
        <v>1919</v>
      </c>
      <c r="AL19" s="820">
        <f t="shared" si="8"/>
        <v>0</v>
      </c>
      <c r="AM19" s="833">
        <f t="shared" si="8"/>
        <v>0</v>
      </c>
      <c r="AN19" s="823">
        <f>IF(ISNUMBER(Datos!K19/Datos!J19),Datos!K19/Datos!J19," - ")</f>
        <v>0.93369829683698302</v>
      </c>
      <c r="AO19" s="823">
        <f>IF(ISNUMBER(FIND("06",Criterios!A8,1)),(IF(ISNUMBER(((Datos!R19/Datos!Q19)*11)/factor_trimestre),((Datos!R19/Datos!Q19)*11)/factor_trimestre," - ")),(IF(ISNUMBER(((Datos!L19/Datos!K19)*11)/factor_trimestre),((Datos!L19/Datos!K19)*11)/factor_trimestre," - ")))</f>
        <v>7.2401737242128128</v>
      </c>
      <c r="AP19" s="834" t="str">
        <f>IF(ISNUMBER(Datos!CI19/Datos!CJ19),Datos!CI19/Datos!CJ19," - ")</f>
        <v xml:space="preserve"> - </v>
      </c>
      <c r="AQ19" s="834">
        <f>IF(OR(ISNUMBER(FIND("01",Criterios!A8,1)),ISNUMBER(FIND("02",Criterios!A8,1)),ISNUMBER(FIND("03",Criterios!A8,1)),ISNUMBER(FIND("04",Criterios!A8,1))),(J19-Y19+K19)/(F19-K19),(I19-Y19+K19)/(F19-K19))</f>
        <v>-2.0391014975041597</v>
      </c>
      <c r="AR19" s="834">
        <f>IF(ISNUMBER((Datos!P19-Datos!Q19+O19)/(Datos!R19-Datos!P19+Datos!Q19-O19)),(Datos!P19-Datos!Q19+O19)/(Datos!R19-Datos!P19+Datos!Q19-O19)," - ")</f>
        <v>-0.21105527638190955</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563.6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636.2399966469676</v>
      </c>
      <c r="G21" s="552">
        <f>IF(ISNUMBER(STDEV(G8:G18)),STDEV(G8:G18),"-")</f>
        <v>655.30473827067658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279.26188425920213</v>
      </c>
      <c r="AK21" s="252"/>
      <c r="AL21" s="252">
        <f>IF(ISNUMBER(STDEV(AL8:AL18)),STDEV(AL8:AL18),"-")</f>
        <v>0</v>
      </c>
      <c r="AM21" s="254">
        <f>IF(ISNUMBER(STDEV(AM8:AM18)),STDEV(AM8:AM18),"-")</f>
        <v>0</v>
      </c>
      <c r="AN21" s="539">
        <f>IF(ISNUMBER(STDEV(AN8:AN18)),STDEV(AN8:AN18),"-")</f>
        <v>0</v>
      </c>
      <c r="AO21" s="540">
        <f>IF(ISNUMBER(STDEV(AO8:AO18)),STDEV(AO8:AO18),"-")</f>
        <v>0.98452247538370852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dKma4opYlmr8EIU/XUsKC0tn3xG4w9hlD3LgxdTR8ycPdPKKvofpAL0laeH741iJq21nxctw1xhk9a5EaZ1JXA==" saltValue="VTuRVBm294ctkXpThhKeS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1fdomw6DO5tC2ryQvM8dtwG8rseErLkOHZU9xs4Ji6NwTRHEVpwgS7Kqix3sGPk/kc+Oa5bIB5dtGWLC4wlLZQ==" saltValue="nyP8Kg/yg8NBjWGgsJNI6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6cCCzdVS4PIAnXVaT5ujVt0qTZKfQzCSFfcOpDQS8g9xpczmEJAikeL3CWKG+OVLXaRYuxFb899eqKoA6NnHA==" saltValue="giLWv7wsrRd7MKJFsaZaV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PAIS VASCO</v>
      </c>
    </row>
    <row r="2" spans="1:78" ht="16.5" customHeight="1">
      <c r="C2" s="488" t="str">
        <f>Criterios!A10 &amp;"  "&amp;Criterios!B10 &amp; "  " &amp; IF(NOT(ISBLANK(Criterios!A11)),Criterios!A11 &amp;"  "&amp;Criterios!B11,"")</f>
        <v>Provincias  GIPUZKOA  Resumenes por Partidos Judiciales  TOLOSA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0.2846153846153846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0.20125346849155584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Ch5SdnaQosCGowyWiXtalXzzYK6v6HVdbtznY8lup5Q5UO72kuvOTjhkXLIVr3xOpPojuxI56F4D81ZFYPiq/w==" saltValue="Xcz3ZprATZKOc2qPlHLPR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HoY72/kOhBxCP85UHABMv3Of65DVDGIlbkDIA526sWWZlRJF4AQyrWsihFNL1hP0bv/SfR2n8jGVHrDJ6d0JRg==" saltValue="iZPVpYV41A23S3S47pyI2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PAIS VASCO</v>
      </c>
      <c r="C2" s="375"/>
      <c r="D2" s="375"/>
      <c r="E2" s="375"/>
      <c r="F2" s="375"/>
    </row>
    <row r="3" spans="1:69" ht="19.5">
      <c r="A3" s="390" t="s">
        <v>115</v>
      </c>
      <c r="B3" s="391" t="str">
        <f>Criterios!A10 &amp;"  "&amp;Criterios!B10</f>
        <v>Provincias  GIPUZKOA</v>
      </c>
      <c r="D3" s="375"/>
      <c r="E3" s="375"/>
      <c r="F3" s="375"/>
      <c r="BQ3" s="471"/>
    </row>
    <row r="4" spans="1:69" ht="13.5" thickBot="1">
      <c r="A4" s="375"/>
      <c r="B4" s="391" t="str">
        <f>Criterios!A11 &amp;"  "&amp;Criterios!B11</f>
        <v>Resumenes por Partidos Judiciales  TOLOSA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57</v>
      </c>
      <c r="D10" s="404">
        <f>IF(ISNUMBER(C10/Datos!BH10),C10/Datos!BH10," - ")</f>
        <v>57</v>
      </c>
      <c r="E10" s="403">
        <f>IF(ISNUMBER(Datos!J10),Datos!J10," - ")</f>
        <v>46</v>
      </c>
      <c r="F10" s="404">
        <f>IF(ISNUMBER(E10/B10),E10/B10," - ")</f>
        <v>46</v>
      </c>
      <c r="G10" s="403">
        <f>IF(ISNUMBER(Datos!K10),Datos!K10," - ")</f>
        <v>58</v>
      </c>
      <c r="H10" s="404">
        <f>IF(ISNUMBER(G10/B10),G10/B10," - ")</f>
        <v>58</v>
      </c>
      <c r="I10" s="403">
        <f>IF(ISNUMBER(Datos!L10),Datos!L10," - ")</f>
        <v>38</v>
      </c>
      <c r="J10" s="404">
        <f>IF(ISNUMBER(I10/B10),I10/B10," - ")</f>
        <v>38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1401</v>
      </c>
      <c r="D12" s="404">
        <f>IF(ISNUMBER(C12/Datos!BH12),C12/Datos!BH12," - ")</f>
        <v>350.25</v>
      </c>
      <c r="E12" s="403">
        <f>IF(ISNUMBER(IF(J_V="SI",Datos!J12,Datos!J12+Datos!Z12)),IF(J_V="SI",Datos!J12,Datos!J12+Datos!Z12)," - ")</f>
        <v>2281</v>
      </c>
      <c r="F12" s="404">
        <f>IF(ISNUMBER(E12/B12),E12/B12," - ")</f>
        <v>570.25</v>
      </c>
      <c r="G12" s="403">
        <f>IF(ISNUMBER(IF(J_V="SI",Datos!K12,Datos!K12+Datos!AA12)),IF(J_V="SI",Datos!K12,Datos!K12+Datos!AA12)," - ")</f>
        <v>2282</v>
      </c>
      <c r="H12" s="404">
        <f>IF(ISNUMBER(G12/B12),G12/B12," - ")</f>
        <v>570.5</v>
      </c>
      <c r="I12" s="403">
        <f>IF(ISNUMBER(IF(J_V="SI",Datos!L12,Datos!L12+Datos!AB12)),IF(J_V="SI",Datos!L12,Datos!L12+Datos!AB12)," - ")</f>
        <v>1381</v>
      </c>
      <c r="J12" s="404">
        <f>IF(ISNUMBER(I12/B12),I12/B12," - ")</f>
        <v>345.25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1458</v>
      </c>
      <c r="D13" s="850" t="str">
        <f>IF(ISNUMBER(C13/Datos!BI13),C13/Datos!BI13," - ")</f>
        <v xml:space="preserve"> - </v>
      </c>
      <c r="E13" s="849">
        <f>SUBTOTAL(9,E8:E12)</f>
        <v>2327</v>
      </c>
      <c r="F13" s="850">
        <f>IF(ISNUMBER(E13/B13),E13/B13," - ")</f>
        <v>581.75</v>
      </c>
      <c r="G13" s="849">
        <f>SUBTOTAL(9,G8:G12)</f>
        <v>2340</v>
      </c>
      <c r="H13" s="850">
        <f>IF(ISNUMBER(G13/B13),G13/B13," - ")</f>
        <v>585</v>
      </c>
      <c r="I13" s="849">
        <f>SUBTOTAL(9,I8:I12)</f>
        <v>1419</v>
      </c>
      <c r="J13" s="850">
        <f>IF(ISNUMBER(I13/B13),I13/B13," - ")</f>
        <v>354.75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1204</v>
      </c>
      <c r="D16" s="404">
        <f>IF(ISNUMBER(C16/Datos!BH16),C16/Datos!BH16," - ")</f>
        <v>301</v>
      </c>
      <c r="E16" s="403">
        <f>IF(ISNUMBER(IF(D_I="SI",Datos!J16,Datos!J16+Datos!AD16)),IF(D_I="SI",Datos!J16,Datos!J16+Datos!AD16)," - ")</f>
        <v>2437</v>
      </c>
      <c r="F16" s="404">
        <f>IF(ISNUMBER(E16/B16),E16/B16," - ")</f>
        <v>609.25</v>
      </c>
      <c r="G16" s="403">
        <f>IF(ISNUMBER(IF(D_I="SI",Datos!K16,Datos!K16+Datos!AE16)),IF(D_I="SI",Datos!K16,Datos!K16+Datos!AE16)," - ")</f>
        <v>2086</v>
      </c>
      <c r="H16" s="404">
        <f>IF(ISNUMBER(G16/B16),G16/B16," - ")</f>
        <v>521.5</v>
      </c>
      <c r="I16" s="403">
        <f>IF(ISNUMBER(IF(D_I="SI",Datos!L16,Datos!L16+Datos!AF16)),IF(D_I="SI",Datos!L16,Datos!L16+Datos!AF16)," - ")</f>
        <v>1503</v>
      </c>
      <c r="J16" s="404">
        <f>IF(ISNUMBER(I16/B16),I16/B16," - ")</f>
        <v>375.75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148</v>
      </c>
      <c r="D17" s="404">
        <f>IF(ISNUMBER(C17/Datos!BH17),C17/Datos!BH17," - ")</f>
        <v>148</v>
      </c>
      <c r="E17" s="403">
        <f>IF(ISNUMBER(IF(D_I="SI",Datos!J17,Datos!J17+Datos!AD17)),IF(D_I="SI",Datos!J17,Datos!J17+Datos!AD17)," - ")</f>
        <v>310</v>
      </c>
      <c r="F17" s="404">
        <f>IF(ISNUMBER(E17/B17),E17/B17," - ")</f>
        <v>310</v>
      </c>
      <c r="G17" s="403">
        <f>IF(ISNUMBER(IF(D_I="SI",Datos!K17,Datos!K17+Datos!AE17)),IF(D_I="SI",Datos!K17,Datos!K17+Datos!AE17)," - ")</f>
        <v>307</v>
      </c>
      <c r="H17" s="404">
        <f>IF(ISNUMBER(G17/B17),G17/B17," - ")</f>
        <v>307</v>
      </c>
      <c r="I17" s="403">
        <f>IF(ISNUMBER(IF(D_I="SI",Datos!L17,Datos!L17+Datos!AF17)),IF(D_I="SI",Datos!L17,Datos!L17+Datos!AF17)," - ")</f>
        <v>143</v>
      </c>
      <c r="J17" s="404">
        <f>IF(ISNUMBER(I17/B17),I17/B17," - ")</f>
        <v>143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1352</v>
      </c>
      <c r="D18" s="850" t="str">
        <f>IF(ISNUMBER(C18/Datos!BI18),C18/Datos!BI18," - ")</f>
        <v xml:space="preserve"> - </v>
      </c>
      <c r="E18" s="849">
        <f>SUBTOTAL(9,E14:E17)</f>
        <v>2747</v>
      </c>
      <c r="F18" s="850">
        <f>IF(ISNUMBER(E18/B18),E18/B18," - ")</f>
        <v>686.75</v>
      </c>
      <c r="G18" s="849">
        <f>SUBTOTAL(9,G14:G17)</f>
        <v>2393</v>
      </c>
      <c r="H18" s="850">
        <f>IF(ISNUMBER(G18/B18),G18/B18," - ")</f>
        <v>598.25</v>
      </c>
      <c r="I18" s="849">
        <f>SUBTOTAL(9,I14:I17)</f>
        <v>1646</v>
      </c>
      <c r="J18" s="850">
        <f>IF(ISNUMBER(I18/B18),I18/B18," - ")</f>
        <v>411.5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2810</v>
      </c>
      <c r="D19" s="795" t="str">
        <f>IF(ISNUMBER(C19/Datos!BI19),C19/Datos!BI19," - ")</f>
        <v xml:space="preserve"> - </v>
      </c>
      <c r="E19" s="794">
        <f>SUBTOTAL(9,E9:E18)</f>
        <v>5074</v>
      </c>
      <c r="F19" s="795">
        <f>IF(ISNUMBER(E19/B19),E19/B19," - ")</f>
        <v>1268.5</v>
      </c>
      <c r="G19" s="794">
        <f>SUBTOTAL(9,G9:G18)</f>
        <v>4733</v>
      </c>
      <c r="H19" s="795">
        <f>IF(ISNUMBER(G19/B19),G19/B19," - ")</f>
        <v>1183.25</v>
      </c>
      <c r="I19" s="794">
        <f>SUBTOTAL(9,I9:I18)</f>
        <v>3065</v>
      </c>
      <c r="J19" s="795">
        <f>IF(ISNUMBER(I19/B19),I19/B19," - ")</f>
        <v>766.25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kUwl/PqHFhbr2qeGljNzX2ygIeXTAyMfBN5t8t3cT3txnIsWwzpCWCHECZ+t0752DTmREGYMUTFcY/gwOJxidA==" saltValue="D5zUFsrGxB9IYpo6IHLwr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PAIS VASCO</v>
      </c>
      <c r="W1"/>
      <c r="X1"/>
    </row>
    <row r="2" spans="1:78" ht="16.5" customHeight="1">
      <c r="C2" s="488" t="str">
        <f>Criterios!A10 &amp;"  "&amp;Criterios!B10 &amp; "  " &amp; IF(NOT(ISBLANK(Criterios!A11)),Criterios!A11 &amp;"  "&amp;Criterios!B11,"")</f>
        <v>Provincias  GIPUZKOA  Resumenes por Partidos Judiciales  TOLOSA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50</v>
      </c>
      <c r="G10" s="684">
        <f>IF(ISNUMBER(Datos!I10),Datos!I10," - ")</f>
        <v>57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58</v>
      </c>
      <c r="AC10" s="683" t="str">
        <f>IF(ISNUMBER(IF(D_I="SI",DatosP!K17,DatosP!K17+DatosP!AE17)),IF(D_I="SI",DatosP!K17,DatosP!K17+DatosP!AE17)," - ")</f>
        <v xml:space="preserve"> - </v>
      </c>
      <c r="AD10" s="685"/>
      <c r="AE10" s="685"/>
      <c r="AF10" s="688">
        <f>IF(ISNUMBER(Datos!L10),Datos!L10,"-")</f>
        <v>38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34</v>
      </c>
      <c r="AM10" s="690">
        <f>IF(ISNUMBER(Datos!N10+DatosP!N17),Datos!N10+DatosP!N17," - ")</f>
        <v>11</v>
      </c>
      <c r="AN10" s="690">
        <f>IF(ISNUMBER(Datos!BW10+DatosP!BW17),Datos!BW10+DatosP!BW17," - ")</f>
        <v>0</v>
      </c>
      <c r="AO10" s="691">
        <f>IF(ISNUMBER(Datos!BX10+DatosP!BX17),Datos!BX10+DatosP!BX17," - ")</f>
        <v>0</v>
      </c>
      <c r="AP10" s="693">
        <f>IF(ISNUMBER(((Datos!L10/Datos!K10)*11)/factor_trimestre),((Datos!L10/Datos!K10)*11)/factor_trimestre," - ")</f>
        <v>7.2068965517241379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444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655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799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632</v>
      </c>
      <c r="AM12" s="690">
        <f>IF(ISNUMBER(Datos!N12+DatosP!N16),Datos!N12+DatosP!N16," - ")</f>
        <v>802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6.656879929886065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-0.2089108910891089</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50</v>
      </c>
      <c r="G13" s="938">
        <f t="shared" si="0"/>
        <v>57</v>
      </c>
      <c r="H13" s="938">
        <f t="shared" si="0"/>
        <v>0</v>
      </c>
      <c r="I13" s="940">
        <f t="shared" si="0"/>
        <v>0</v>
      </c>
      <c r="J13" s="939">
        <f t="shared" si="0"/>
        <v>0</v>
      </c>
      <c r="K13" s="939">
        <f t="shared" si="0"/>
        <v>0</v>
      </c>
      <c r="L13" s="941">
        <f t="shared" si="0"/>
        <v>0</v>
      </c>
      <c r="M13" s="941">
        <f t="shared" si="0"/>
        <v>0</v>
      </c>
      <c r="N13" s="939">
        <f t="shared" si="0"/>
        <v>454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58</v>
      </c>
      <c r="AC13" s="939">
        <f t="shared" si="1"/>
        <v>0</v>
      </c>
      <c r="AD13" s="939">
        <f t="shared" si="1"/>
        <v>655</v>
      </c>
      <c r="AE13" s="939">
        <f t="shared" si="1"/>
        <v>0</v>
      </c>
      <c r="AF13" s="939">
        <f t="shared" si="1"/>
        <v>38</v>
      </c>
      <c r="AG13" s="939">
        <f t="shared" si="1"/>
        <v>0</v>
      </c>
      <c r="AH13" s="939">
        <f t="shared" si="1"/>
        <v>799</v>
      </c>
      <c r="AI13" s="939">
        <f t="shared" si="1"/>
        <v>0</v>
      </c>
      <c r="AJ13" s="939">
        <f t="shared" si="1"/>
        <v>0</v>
      </c>
      <c r="AK13" s="939">
        <f t="shared" si="1"/>
        <v>0</v>
      </c>
      <c r="AL13" s="939">
        <f t="shared" si="1"/>
        <v>666</v>
      </c>
      <c r="AM13" s="939">
        <f t="shared" si="1"/>
        <v>813</v>
      </c>
      <c r="AN13" s="939">
        <f t="shared" si="1"/>
        <v>0</v>
      </c>
      <c r="AO13" s="939">
        <f t="shared" si="1"/>
        <v>0</v>
      </c>
      <c r="AP13" s="944">
        <f>IF(ISNUMBER(((Datos!L13/Datos!K13)*11)/factor_trimestre),((Datos!L13/Datos!K13)*11)/factor_trimestre," - ")</f>
        <v>6.8874321880650999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-1.1599999999999999</v>
      </c>
      <c r="AU13" s="939" t="str">
        <f>IF(ISNUMBER((DatosP!#REF!-DatosP!#REF!+DatosP!#REF!)/(DatosP!#REF!+DatosP!#REF!-DatosP!#REF!-DatosP!#REF!)),(DatosP!#REF!-DatosP!#REF!+DatosP!#REF!)/(DatosP!#REF!+DatosP!#REF!-DatosP!#REF!-DatosP!#REF!)," - ")</f>
        <v xml:space="preserve"> - </v>
      </c>
      <c r="AV13" s="945">
        <f>SUBTOTAL(9,AV9:AV12)</f>
        <v>-0.2089108910891089</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7.5662348516506475</v>
      </c>
      <c r="AQ18" s="944">
        <f>IF(ISNUMBER(((Datos!M18/Datos!L18)*11)/factor_trimestre),((Datos!M18/Datos!L18)*11)/factor_trimestre," - ")</f>
        <v>3.3481166464155532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-0.20666666666666667</v>
      </c>
      <c r="AW18" s="946">
        <f>IF(ISNUMBER((Datos!Q18-Datos!R18)/(Datos!S18-Datos!Q18+Datos!R18)),(Datos!Q18-Datos!R18)/(Datos!S18-Datos!Q18+Datos!R18)," - ")</f>
        <v>-1.4896373056994818E-2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50</v>
      </c>
      <c r="G19" s="951">
        <f t="shared" si="4"/>
        <v>57</v>
      </c>
      <c r="H19" s="951">
        <f t="shared" si="4"/>
        <v>0</v>
      </c>
      <c r="I19" s="952">
        <f t="shared" si="4"/>
        <v>0</v>
      </c>
      <c r="J19" s="953">
        <f t="shared" si="4"/>
        <v>0</v>
      </c>
      <c r="K19" s="953">
        <f t="shared" si="4"/>
        <v>0</v>
      </c>
      <c r="L19" s="953">
        <f t="shared" si="4"/>
        <v>0</v>
      </c>
      <c r="M19" s="953">
        <f t="shared" si="4"/>
        <v>0</v>
      </c>
      <c r="N19" s="952">
        <f t="shared" si="4"/>
        <v>454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58</v>
      </c>
      <c r="AC19" s="957">
        <f t="shared" si="5"/>
        <v>0</v>
      </c>
      <c r="AD19" s="957">
        <f t="shared" si="5"/>
        <v>655</v>
      </c>
      <c r="AE19" s="957">
        <f t="shared" si="5"/>
        <v>0</v>
      </c>
      <c r="AF19" s="958">
        <f t="shared" si="5"/>
        <v>38</v>
      </c>
      <c r="AG19" s="958">
        <f t="shared" si="5"/>
        <v>0</v>
      </c>
      <c r="AH19" s="958">
        <f t="shared" si="5"/>
        <v>799</v>
      </c>
      <c r="AI19" s="958">
        <f t="shared" si="5"/>
        <v>0</v>
      </c>
      <c r="AJ19" s="959">
        <f t="shared" si="5"/>
        <v>0</v>
      </c>
      <c r="AK19" s="959">
        <f t="shared" si="5"/>
        <v>0</v>
      </c>
      <c r="AL19" s="951">
        <f t="shared" si="5"/>
        <v>666</v>
      </c>
      <c r="AM19" s="951">
        <f t="shared" si="5"/>
        <v>813</v>
      </c>
      <c r="AN19" s="951">
        <f t="shared" si="5"/>
        <v>0</v>
      </c>
      <c r="AO19" s="951">
        <f t="shared" si="5"/>
        <v>0</v>
      </c>
      <c r="AP19" s="951">
        <f>IF(ISNUMBER(((Datos!L19/Datos!K19)*11)/factor_trimestre),((Datos!L19/Datos!K19)*11)/factor_trimestre," - ")</f>
        <v>7.2401737242128128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-1.1599999999999999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-0.21105527638190955</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28.867513459481287</v>
      </c>
      <c r="G21" s="737">
        <f>IF(ISNUMBER(STDEV(G8:G18)),STDEV(G8:G18),"-")</f>
        <v>32.908965343808667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33.486315612998297</v>
      </c>
      <c r="AC21" s="738">
        <f>IF(ISNUMBER(STDEV(AC8:AC18)),STDEV(AC8:AC18),"-")</f>
        <v>0</v>
      </c>
      <c r="AD21" s="741"/>
      <c r="AE21" s="741"/>
      <c r="AF21" s="741"/>
      <c r="AG21" s="741"/>
      <c r="AH21" s="741"/>
      <c r="AI21" s="741"/>
      <c r="AJ21" s="742">
        <f>IF(ISNUMBER(STDEV(AJ8:AJ18)),STDEV(AJ8:AJ18),"-")</f>
        <v>0</v>
      </c>
      <c r="AK21" s="744"/>
      <c r="AL21" s="736">
        <f>IF(ISNUMBER(STDEV(AL8:AL18)),STDEV(AL8:AL18),"-")</f>
        <v>365.41300834352717</v>
      </c>
      <c r="AM21" s="736"/>
      <c r="AN21" s="736">
        <f>IF(ISNUMBER(STDEV(AN8:AN18)),STDEV(AN8:AN18),"-")</f>
        <v>0</v>
      </c>
      <c r="AO21" s="742">
        <f>IF(ISNUMBER(STDEV(AO8:AO18)),STDEV(AO8:AO18),"-")</f>
        <v>0</v>
      </c>
      <c r="AP21" s="779">
        <f>IF(ISNUMBER(STDEV(AP8:AP18)),STDEV(AP8:AP18),"-")</f>
        <v>0.39523764489650931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OUmCWe2h8k9KnHAhfjAsjoyFzbIZ6rS3jO4obzxI8iipt7xQ8GFApP6yNZqcyb0ZKSYqk2099KVw7Os0ZB72Dg==" saltValue="Mmq1SLkpExneCrJM4dMGC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PAIS VASCO</v>
      </c>
      <c r="C2" s="375"/>
      <c r="E2" s="375"/>
      <c r="F2" s="375"/>
      <c r="G2" s="375"/>
      <c r="H2" s="375"/>
    </row>
    <row r="3" spans="1:15" ht="39">
      <c r="A3" s="415" t="s">
        <v>218</v>
      </c>
      <c r="B3" s="391" t="str">
        <f>Criterios!A10 &amp;"  "&amp;Criterios!B10</f>
        <v>Provincias  GIPUZKOA</v>
      </c>
      <c r="C3" s="415"/>
      <c r="F3" s="375"/>
      <c r="G3" s="375"/>
      <c r="H3" s="375"/>
    </row>
    <row r="4" spans="1:15" ht="13.5" thickBot="1">
      <c r="A4" s="375"/>
      <c r="B4" s="391" t="str">
        <f>Criterios!A11 &amp;"  "&amp;Criterios!B11</f>
        <v>Resumenes por Partidos Judiciales  TOLOSA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4uaHAte9qHBQurTZ6GXbxj0iYwcjzHg1vneJZm0QbYVtxLLr+B9Xj8j63TmHxv8QmAfQKjweHdG4rSitlZLdCQ==" saltValue="PFyKb2ZJCqGEfx/uw59ti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PAIS VASCO</v>
      </c>
      <c r="C2" s="391"/>
    </row>
    <row r="3" spans="1:78" ht="19.5">
      <c r="A3" s="425" t="s">
        <v>11</v>
      </c>
      <c r="B3" s="391" t="str">
        <f>Criterios!A10 &amp;"  "&amp;Criterios!B10</f>
        <v>Provincias  GIPUZKOA</v>
      </c>
      <c r="C3" s="391"/>
      <c r="D3" s="425"/>
      <c r="BZ3" s="471"/>
    </row>
    <row r="4" spans="1:78" ht="13.5" thickBot="1">
      <c r="B4" s="391" t="str">
        <f>Criterios!A11 &amp;"  "&amp;Criterios!B11</f>
        <v>Resumenes por Partidos Judiciales  TOLOSA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34</v>
      </c>
      <c r="E10" s="404">
        <f>IF(ISNUMBER(D10/B10),D10/B10," - ")</f>
        <v>34</v>
      </c>
      <c r="F10" s="403">
        <f>IF(ISNUMBER(Datos!N10),Datos!N10," - ")</f>
        <v>11</v>
      </c>
      <c r="G10" s="404">
        <f>IF(ISNUMBER(F10/B10),F10/B10," - ")</f>
        <v>11</v>
      </c>
      <c r="H10" s="403">
        <f>IF(ISNUMBER(Datos!O10),Datos!O10," - ")</f>
        <v>30</v>
      </c>
      <c r="I10" s="404">
        <f t="shared" ref="I10:I12" si="2">IF(ISNUMBER(H10/B10),H10/B10," - ")</f>
        <v>30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632</v>
      </c>
      <c r="E12" s="404">
        <f t="shared" si="0"/>
        <v>158</v>
      </c>
      <c r="F12" s="403">
        <f>IF(ISNUMBER(Datos!N12),Datos!N12," - ")</f>
        <v>802</v>
      </c>
      <c r="G12" s="404">
        <f t="shared" si="1"/>
        <v>200.5</v>
      </c>
      <c r="H12" s="403">
        <f>IF(ISNUMBER(Datos!O12),Datos!O12," - ")</f>
        <v>568</v>
      </c>
      <c r="I12" s="404">
        <f t="shared" si="2"/>
        <v>142</v>
      </c>
      <c r="BZ12" s="1186">
        <f>Datos!EZ12</f>
        <v>0</v>
      </c>
    </row>
    <row r="13" spans="1:78" ht="14.25" thickTop="1" thickBot="1">
      <c r="A13" s="848" t="str">
        <f>Datos!A13</f>
        <v>TOTAL</v>
      </c>
      <c r="B13" s="849">
        <f>Datos!AP13</f>
        <v>4</v>
      </c>
      <c r="C13" s="851">
        <f>Datos!AR13</f>
        <v>4</v>
      </c>
      <c r="D13" s="849">
        <f>SUBTOTAL(9,D9:D12)</f>
        <v>666</v>
      </c>
      <c r="E13" s="850">
        <f t="shared" si="0"/>
        <v>166.5</v>
      </c>
      <c r="F13" s="849">
        <f>SUBTOTAL(9,F9:F12)</f>
        <v>813</v>
      </c>
      <c r="G13" s="850">
        <f t="shared" si="1"/>
        <v>203.25</v>
      </c>
      <c r="H13" s="849">
        <f>SUBTOTAL(9,H9:H12)</f>
        <v>598</v>
      </c>
      <c r="I13" s="850">
        <f>IF(ISNUMBER(H13/B13),H13/B13," - ")</f>
        <v>149.5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447</v>
      </c>
      <c r="E16" s="404">
        <f t="shared" si="3"/>
        <v>111.75</v>
      </c>
      <c r="F16" s="403">
        <f>IF(ISNUMBER(Datos!N16),Datos!N16," - ")</f>
        <v>967</v>
      </c>
      <c r="G16" s="404">
        <f t="shared" si="4"/>
        <v>241.75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54</v>
      </c>
      <c r="E17" s="404">
        <f>IF(ISNUMBER(D17/B17),D17/B17," - ")</f>
        <v>54</v>
      </c>
      <c r="F17" s="403">
        <f>IF(ISNUMBER(Datos!N17),Datos!N17," - ")</f>
        <v>139</v>
      </c>
      <c r="G17" s="404">
        <f>IF(ISNUMBER(F17/B17),F17/B17," - ")</f>
        <v>139</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501</v>
      </c>
      <c r="E18" s="850">
        <f t="shared" si="3"/>
        <v>125.25</v>
      </c>
      <c r="F18" s="849">
        <f>SUBTOTAL(9,F15:F17)</f>
        <v>1106</v>
      </c>
      <c r="G18" s="850">
        <f t="shared" si="4"/>
        <v>276.5</v>
      </c>
      <c r="H18" s="849">
        <f>SUBTOTAL(9,H15:H17)</f>
        <v>0</v>
      </c>
      <c r="I18" s="850">
        <f>IF(ISNUMBER(H18/B18),H18/B18," - ")</f>
        <v>0</v>
      </c>
      <c r="BZ18" s="1186"/>
    </row>
    <row r="19" spans="1:78" ht="14.25" thickTop="1" thickBot="1">
      <c r="A19" s="793" t="str">
        <f>Datos!A19</f>
        <v>TOTAL JURISDICCIONES</v>
      </c>
      <c r="B19" s="794">
        <f>Datos!AP19</f>
        <v>4</v>
      </c>
      <c r="C19" s="794">
        <f>Datos!AR19</f>
        <v>4</v>
      </c>
      <c r="D19" s="794">
        <f>SUBTOTAL(9,D8:D18)</f>
        <v>1167</v>
      </c>
      <c r="E19" s="795">
        <f>IF(ISNUMBER(D19/B19),D19/B19," - ")</f>
        <v>291.75</v>
      </c>
      <c r="F19" s="794">
        <f>SUBTOTAL(9,F8:F18)</f>
        <v>1919</v>
      </c>
      <c r="G19" s="795">
        <f>IF(ISNUMBER(F19/B19),F19/B19," - ")</f>
        <v>479.75</v>
      </c>
      <c r="H19" s="794">
        <f>SUBTOTAL(9,H8:H18)</f>
        <v>598</v>
      </c>
      <c r="I19" s="795">
        <f>IF(ISNUMBER(H19/B19),H19/B19," - ")</f>
        <v>149.5</v>
      </c>
    </row>
    <row r="22" spans="1:78">
      <c r="A22" s="391" t="str">
        <f>Criterios!A4</f>
        <v>Fecha Informe: 28 feb. 2025</v>
      </c>
    </row>
    <row r="27" spans="1:78">
      <c r="A27" s="414"/>
    </row>
  </sheetData>
  <sheetProtection algorithmName="SHA-512" hashValue="yqgi7a1JbzxJaMvSlyfbjd/8eDjKT6zEAffkY1BU401/4CcH2HoLkSS04uHSUKAVL7MyncqYxEHESGk+I2pIjQ==" saltValue="tF4tRBzkUrPouRq0GlPHS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PAIS VASCO</v>
      </c>
    </row>
    <row r="3" spans="1:4" ht="19.5">
      <c r="A3" s="429" t="s">
        <v>32</v>
      </c>
      <c r="B3" s="391" t="str">
        <f>Criterios!A10 &amp;"  "&amp;Criterios!B10</f>
        <v>Provincias  GIPUZKOA</v>
      </c>
    </row>
    <row r="4" spans="1:4" ht="13.5" thickBot="1">
      <c r="B4" s="391" t="str">
        <f>Criterios!A11 &amp;"  "&amp;Criterios!B11</f>
        <v>Resumenes por Partidos Judiciales  TOLOSA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10</v>
      </c>
      <c r="C10" s="434">
        <f>IF(ISNUMBER(Datos!Q10),Datos!Q10," - ")</f>
        <v>20</v>
      </c>
      <c r="D10" s="408">
        <f>IF(ISNUMBER(Datos!R10),Datos!R10," - ")</f>
        <v>24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444</v>
      </c>
      <c r="C12" s="434">
        <f>IF(ISNUMBER(Datos!Q12),Datos!Q12," - ")</f>
        <v>655</v>
      </c>
      <c r="D12" s="408">
        <f>IF(ISNUMBER(Datos!R12),Datos!R12," - ")</f>
        <v>799</v>
      </c>
    </row>
    <row r="13" spans="1:4" ht="14.25" thickTop="1" thickBot="1">
      <c r="A13" s="848" t="str">
        <f>Datos!A13</f>
        <v>TOTAL</v>
      </c>
      <c r="B13" s="849">
        <f>SUBTOTAL(9,B9:B12)</f>
        <v>454</v>
      </c>
      <c r="C13" s="853">
        <f>SUBTOTAL(9,C9:C12)</f>
        <v>675</v>
      </c>
      <c r="D13" s="851">
        <f>SUBTOTAL(9,D9:D12)</f>
        <v>823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65</v>
      </c>
      <c r="C16" s="434">
        <f>IF(ISNUMBER(Datos!Q16),Datos!Q16," - ")</f>
        <v>96</v>
      </c>
      <c r="D16" s="408">
        <f>IF(ISNUMBER(Datos!R16),Datos!R16," - ")</f>
        <v>119</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65</v>
      </c>
      <c r="C18" s="853">
        <f>SUBTOTAL(9,C15:C17)</f>
        <v>96</v>
      </c>
      <c r="D18" s="851">
        <f>SUBTOTAL(9,D15:D17)</f>
        <v>119</v>
      </c>
    </row>
    <row r="19" spans="1:4" ht="16.5" customHeight="1" thickTop="1" thickBot="1">
      <c r="A19" s="793" t="str">
        <f>Datos!A19</f>
        <v>TOTAL JURISDICCIONES</v>
      </c>
      <c r="B19" s="798">
        <f>SUBTOTAL(9,B8:B18)</f>
        <v>519</v>
      </c>
      <c r="C19" s="799">
        <f>SUBTOTAL(9,C8:C18)</f>
        <v>771</v>
      </c>
      <c r="D19" s="800">
        <f>SUBTOTAL(9,D8:D18)</f>
        <v>942</v>
      </c>
    </row>
    <row r="20" spans="1:4" ht="7.5" customHeight="1"/>
    <row r="21" spans="1:4" ht="6" customHeight="1"/>
    <row r="22" spans="1:4">
      <c r="A22" s="391" t="str">
        <f>Criterios!A4</f>
        <v>Fecha Informe: 28 feb. 2025</v>
      </c>
    </row>
    <row r="27" spans="1:4">
      <c r="A27" s="414"/>
    </row>
  </sheetData>
  <sheetProtection algorithmName="SHA-512" hashValue="8vd4rLGwNOLZ2zkEMPCqZiFtcw5OsXTvLBeH3/X763i7C8cjMrfKvWzD8N5AKfsaW1Gy/4DvEGsopA83DGi7Iw==" saltValue="x8x5sfkDDzbua9LCjpZbz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PAIS VASCO</v>
      </c>
    </row>
    <row r="3" spans="1:11" ht="18.75" customHeight="1">
      <c r="A3" s="429" t="s">
        <v>118</v>
      </c>
      <c r="B3" s="391" t="str">
        <f>Criterios!A10 &amp;"  "&amp;Criterios!B10</f>
        <v>Provincias  GIPUZKOA</v>
      </c>
    </row>
    <row r="4" spans="1:11" ht="10.5" customHeight="1" thickBot="1">
      <c r="B4" s="391" t="str">
        <f>Criterios!A11 &amp;"  "&amp;Criterios!B11</f>
        <v>Resumenes por Partidos Judiciales  TOLOSA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v>
      </c>
      <c r="C10" s="456">
        <f>IF(ISNUMBER((Datos!J10-Datos!T10)/Datos!T10),(Datos!J10-Datos!T10)/Datos!T10," - ")</f>
        <v>-4.1666666666666664E-2</v>
      </c>
      <c r="D10" s="456">
        <f>IF(ISNUMBER((Datos!K10-Datos!U10)/Datos!U10),(Datos!K10-Datos!U10)/Datos!U10," - ")</f>
        <v>0.2608695652173913</v>
      </c>
      <c r="E10" s="456">
        <f>IF(ISNUMBER((Datos!L10-Datos!V10)/Datos!V10),(Datos!L10-Datos!V10)/Datos!V10," - ")</f>
        <v>-0.33333333333333331</v>
      </c>
      <c r="F10" s="456">
        <f>IF(ISNUMBER((Datos!M10-Datos!W10)/Datos!W10),(Datos!M10-Datos!W10)/Datos!W10," - ")</f>
        <v>0.41666666666666669</v>
      </c>
      <c r="G10" s="457">
        <f>IF(ISNUMBER((Datos!N10-Datos!X10)/Datos!X10),(Datos!N10-Datos!X10)/Datos!X10," - ")</f>
        <v>0.22222222222222221</v>
      </c>
      <c r="H10" s="455">
        <f>IF(ISNUMBER(((NºAsuntos!G10/NºAsuntos!E10)-Datos!BD10)/Datos!BD10),((NºAsuntos!G10/NºAsuntos!E10)-Datos!BD10)/Datos!BD10," - ")</f>
        <v>0.31568998109640833</v>
      </c>
      <c r="I10" s="456">
        <f>IF(ISNUMBER(((NºAsuntos!I10/NºAsuntos!G10)-Datos!BE10)/Datos!BE10),((NºAsuntos!I10/NºAsuntos!G10)-Datos!BE10)/Datos!BE10," - ")</f>
        <v>-0.47126436781609193</v>
      </c>
      <c r="J10" s="461">
        <f>IF(ISNUMBER((('Resol  Asuntos'!D10/NºAsuntos!G10)-Datos!BF10)/Datos!BF10),(('Resol  Asuntos'!D10/NºAsuntos!G10)-Datos!BF10)/Datos!BF10," - ")</f>
        <v>0.12356321839080453</v>
      </c>
      <c r="K10" s="462">
        <f>IF(ISNUMBER((((NºAsuntos!C10+NºAsuntos!E10)/NºAsuntos!G10)-Datos!BG10)/Datos!BG10),(((NºAsuntos!C10+NºAsuntos!E10)/NºAsuntos!G10)-Datos!BG10)/Datos!BG10," - ")</f>
        <v>-5.0120288692862856E-2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-1.4767932489451477E-2</v>
      </c>
      <c r="C12" s="456">
        <f>IF(ISNUMBER(
   IF(J_V="SI",(Datos!J12-Datos!T12)/Datos!T12,(Datos!J12+Datos!Z12-(Datos!T12+Datos!AH12))/(Datos!T12+Datos!AH12))
     ),IF(J_V="SI",(Datos!J12-Datos!T12)/Datos!T12,(Datos!J12+Datos!Z12-(Datos!T12+Datos!AH12))/(Datos!T12+Datos!AH12))," - ")</f>
        <v>0.14623115577889448</v>
      </c>
      <c r="D12" s="456">
        <f>IF(ISNUMBER(
   IF(J_V="SI",(Datos!K12-Datos!U12)/Datos!U12,(Datos!K12+Datos!AA12-(Datos!U12+Datos!AI12))/(Datos!U12+Datos!AI12))
     ),IF(J_V="SI",(Datos!K12-Datos!U12)/Datos!U12,(Datos!K12+Datos!AA12-(Datos!U12+Datos!AI12))/(Datos!U12+Datos!AI12))," - ")</f>
        <v>0.20485744456177402</v>
      </c>
      <c r="E12" s="456">
        <f>IF(ISNUMBER(
   IF(J_V="SI",(Datos!L12-Datos!V12)/Datos!V12,(Datos!L12+Datos!AB12-(Datos!V12+Datos!AJ12))/(Datos!V12+Datos!AJ12))
     ),IF(J_V="SI",(Datos!L12-Datos!V12)/Datos!V12,(Datos!L12+Datos!AB12-(Datos!V12+Datos!AJ12))/(Datos!V12+Datos!AJ12))," - ")</f>
        <v>-1.4275517487508922E-2</v>
      </c>
      <c r="F12" s="456">
        <f>IF(ISNUMBER((Datos!M12-Datos!W12)/Datos!W12),(Datos!M12-Datos!W12)/Datos!W12," - ")</f>
        <v>0.17037037037037037</v>
      </c>
      <c r="G12" s="457">
        <f>IF(ISNUMBER((Datos!N12-Datos!X12)/Datos!X12),(Datos!N12-Datos!X12)/Datos!X12," - ")</f>
        <v>0.41696113074204949</v>
      </c>
      <c r="H12" s="455">
        <f>IF(ISNUMBER(((NºAsuntos!G12/NºAsuntos!E12)-Datos!BD12)/Datos!BD12),((NºAsuntos!G12/NºAsuntos!E12)-Datos!BD12)/Datos!BD12," - ")</f>
        <v>5.1147003366037086E-2</v>
      </c>
      <c r="I12" s="456">
        <f>IF(ISNUMBER(((NºAsuntos!I12/NºAsuntos!G12)-Datos!BE12)/Datos!BE12),((NºAsuntos!I12/NºAsuntos!G12)-Datos!BE12)/Datos!BE12," - ")</f>
        <v>-0.18187459689804644</v>
      </c>
      <c r="J12" s="461">
        <f>IF(ISNUMBER((('Resol  Asuntos'!D12/NºAsuntos!G12)-Datos!BF12)/Datos!BF12),(('Resol  Asuntos'!D12/NºAsuntos!G12)-Datos!BF12)/Datos!BF12," - ")</f>
        <v>-7.3244906365069418E-2</v>
      </c>
      <c r="K12" s="462">
        <f>IF(ISNUMBER((((NºAsuntos!C12+NºAsuntos!E12)/NºAsuntos!G12)-Datos!BG12)/Datos!BG12),(((NºAsuntos!C12+NºAsuntos!E12)/NºAsuntos!G12)-Datos!BG12)/Datos!BG12," - ")</f>
        <v>-0.10434842022741821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-1.3698630136986301E-3</v>
      </c>
      <c r="C13" s="855">
        <f>IF(ISNUMBER(
   IF(J_V="SI",(Datos!J13-Datos!T13)/Datos!T13,(Datos!J13+Datos!Z13-(Datos!T13+Datos!AH13))/(Datos!T13+Datos!AH13))
     ),IF(J_V="SI",(Datos!J13-Datos!T13)/Datos!T13,(Datos!J13+Datos!Z13-(Datos!T13+Datos!AH13))/(Datos!T13+Datos!AH13))," - ")</f>
        <v>0.14180569185475958</v>
      </c>
      <c r="D13" s="855">
        <f>IF(ISNUMBER(
   IF(J_V="SI",(Datos!K13-Datos!U13)/Datos!U13,(Datos!K13+Datos!AA13-(Datos!U13+Datos!AI13))/(Datos!U13+Datos!AI13))
     ),IF(J_V="SI",(Datos!K13-Datos!U13)/Datos!U13,(Datos!K13+Datos!AA13-(Datos!U13+Datos!AI13))/(Datos!U13+Datos!AI13))," - ")</f>
        <v>0.20618556701030927</v>
      </c>
      <c r="E13" s="855">
        <f>IF(ISNUMBER(
   IF(J_V="SI",(Datos!L13-Datos!V13)/Datos!V13,(Datos!L13+Datos!AB13-(Datos!V13+Datos!AJ13))/(Datos!V13+Datos!AJ13))
     ),IF(J_V="SI",(Datos!L13-Datos!V13)/Datos!V13,(Datos!L13+Datos!AB13-(Datos!V13+Datos!AJ13))/(Datos!V13+Datos!AJ13))," - ")</f>
        <v>-2.6748971193415638E-2</v>
      </c>
      <c r="F13" s="856">
        <f>IF(ISNUMBER((Datos!M13-Datos!W13)/Datos!W13),(Datos!M13-Datos!W13)/Datos!W13," - ")</f>
        <v>0.18085106382978725</v>
      </c>
      <c r="G13" s="857">
        <f>IF(ISNUMBER((Datos!N13-Datos!X13)/Datos!X13),(Datos!N13-Datos!X13)/Datos!X13," - ")</f>
        <v>0.41391304347826086</v>
      </c>
      <c r="H13" s="857">
        <f>IF(ISNUMBER(((NºAsuntos!G13/NºAsuntos!E13)-Datos!BD13)/Datos!BD13),((NºAsuntos!G13/NºAsuntos!E13)-Datos!BD13)/Datos!BD13," - ")</f>
        <v>5.6384265391925391E-2</v>
      </c>
      <c r="I13" s="857">
        <f>IF(ISNUMBER(((NºAsuntos!I13/NºAsuntos!G13)-Datos!BE13)/Datos!BE13),((NºAsuntos!I13/NºAsuntos!G13)-Datos!BE13)/Datos!BE13," - ")</f>
        <v>-0.19311666842531044</v>
      </c>
      <c r="J13" s="857">
        <f>IF(ISNUMBER((('Resol  Asuntos'!D13/NºAsuntos!G13)-Datos!BF13)/Datos!BF13),(('Resol  Asuntos'!D13/NºAsuntos!G13)-Datos!BF13)/Datos!BF13," - ")</f>
        <v>-6.4146023468057325E-2</v>
      </c>
      <c r="K13" s="857">
        <f>IF(ISNUMBER((((NºAsuntos!C13+NºAsuntos!E13)/NºAsuntos!G13)-Datos!BG13)/Datos!BG13),(((NºAsuntos!C13+NºAsuntos!E13)/NºAsuntos!G13)-Datos!BG13)/Datos!BG13," - ")</f>
        <v>-0.10291839537122556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-0.12942877801879971</v>
      </c>
      <c r="C16" s="456">
        <f>IF(ISNUMBER(
   IF(D_I="SI",(Datos!J16-Datos!T16)/Datos!T16,(Datos!J16+Datos!AD16-(Datos!T16+Datos!AL16))/(Datos!T16+Datos!AL16))
     ),IF(D_I="SI",(Datos!J16-Datos!T16)/Datos!T16,(Datos!J16+Datos!AD16-(Datos!T16+Datos!AL16))/(Datos!T16+Datos!AL16))," - ")</f>
        <v>9.2335275661138499E-2</v>
      </c>
      <c r="D16" s="456">
        <f>IF(ISNUMBER(
   IF(D_I="SI",(Datos!K16-Datos!U16)/Datos!U16,(Datos!K16+Datos!AE16-(Datos!U16+Datos!AM16))/(Datos!U16+Datos!AM16))
     ),IF(D_I="SI",(Datos!K16-Datos!U16)/Datos!U16,(Datos!K16+Datos!AE16-(Datos!U16+Datos!AM16))/(Datos!U16+Datos!AM16))," - ")</f>
        <v>-7.6582558654271798E-2</v>
      </c>
      <c r="E16" s="456">
        <f>IF(ISNUMBER(
   IF(D_I="SI",(Datos!L16-Datos!V16)/Datos!V16,(Datos!L16+Datos!AF16-(Datos!V16+Datos!AN16))/(Datos!V16+Datos!AN16))
     ),IF(D_I="SI",(Datos!L16-Datos!V16)/Datos!V16,(Datos!L16+Datos!AF16-(Datos!V16+Datos!AN16))/(Datos!V16+Datos!AN16))," - ")</f>
        <v>0.24833887043189368</v>
      </c>
      <c r="F16" s="456">
        <f>IF(ISNUMBER((Datos!M16-Datos!W16)/Datos!W16),(Datos!M16-Datos!W16)/Datos!W16," - ")</f>
        <v>3.7122969837587005E-2</v>
      </c>
      <c r="G16" s="457">
        <f>IF(ISNUMBER((Datos!N16-Datos!X16)/Datos!X16),(Datos!N16-Datos!X16)/Datos!X16," - ")</f>
        <v>-6.9297401347449467E-2</v>
      </c>
      <c r="H16" s="455">
        <f>IF(ISNUMBER(((NºAsuntos!G16/NºAsuntos!E16)-Datos!BD16)/Datos!BD16),((NºAsuntos!G16/NºAsuntos!E16)-Datos!BD16)/Datos!BD16," - ")</f>
        <v>-0.15463918274833019</v>
      </c>
      <c r="I16" s="456">
        <f>IF(ISNUMBER(((NºAsuntos!I16/NºAsuntos!G16)-Datos!BE16)/Datos!BE16),((NºAsuntos!I16/NºAsuntos!G16)-Datos!BE16)/Datos!BE16," - ")</f>
        <v>0.35186841241881478</v>
      </c>
      <c r="J16" s="461">
        <f>IF(ISNUMBER((('Resol  Asuntos'!D16/NºAsuntos!G16)-Datos!BF16)/Datos!BF16),(('Resol  Asuntos'!D16/NºAsuntos!G16)-Datos!BF16)/Datos!BF16," - ")</f>
        <v>0.12313556513092466</v>
      </c>
      <c r="K16" s="462">
        <f>IF(ISNUMBER((((NºAsuntos!C16+NºAsuntos!E16)/NºAsuntos!G16)-Datos!BG16)/Datos!BG16),(((NºAsuntos!C16+NºAsuntos!E16)/NºAsuntos!G16)-Datos!BG16)/Datos!BG16," - ")</f>
        <v>9.1024385300373822E-2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7.2463768115942032E-2</v>
      </c>
      <c r="C17" s="456">
        <f>IF(ISNUMBER(
   IF(D_I="SI",(Datos!J17-Datos!T17)/Datos!T17,(Datos!J17+Datos!AD17-(Datos!T17+Datos!AL17))/(Datos!T17+Datos!AL17))
     ),IF(D_I="SI",(Datos!J17-Datos!T17)/Datos!T17,(Datos!J17+Datos!AD17-(Datos!T17+Datos!AL17))/(Datos!T17+Datos!AL17))," - ")</f>
        <v>8.3916083916083919E-2</v>
      </c>
      <c r="D17" s="456">
        <f>IF(ISNUMBER(
   IF(D_I="SI",(Datos!K17-Datos!U17)/Datos!U17,(Datos!K17+Datos!AE17-(Datos!U17+Datos!AM17))/(Datos!U17+Datos!AM17))
     ),IF(D_I="SI",(Datos!K17-Datos!U17)/Datos!U17,(Datos!K17+Datos!AE17-(Datos!U17+Datos!AM17))/(Datos!U17+Datos!AM17))," - ")</f>
        <v>0.11231884057971014</v>
      </c>
      <c r="E17" s="456">
        <f>IF(ISNUMBER(
   IF(D_I="SI",(Datos!L17-Datos!V17)/Datos!V17,(Datos!L17+Datos!AF17-(Datos!V17+Datos!AN17))/(Datos!V17+Datos!AN17))
     ),IF(D_I="SI",(Datos!L17-Datos!V17)/Datos!V17,(Datos!L17+Datos!AF17-(Datos!V17+Datos!AN17))/(Datos!V17+Datos!AN17))," - ")</f>
        <v>-3.3783783783783786E-2</v>
      </c>
      <c r="F17" s="456">
        <f>IF(ISNUMBER((Datos!M17-Datos!W17)/Datos!W17),(Datos!M17-Datos!W17)/Datos!W17," - ")</f>
        <v>3.8461538461538464E-2</v>
      </c>
      <c r="G17" s="457">
        <f>IF(ISNUMBER((Datos!N17-Datos!X17)/Datos!X17),(Datos!N17-Datos!X17)/Datos!X17," - ")</f>
        <v>0.4329896907216495</v>
      </c>
      <c r="H17" s="455">
        <f>IF(ISNUMBER(((NºAsuntos!G17/NºAsuntos!E17)-Datos!BD17)/Datos!BD17),((NºAsuntos!G17/NºAsuntos!E17)-Datos!BD17)/Datos!BD17," - ")</f>
        <v>2.6203833567087494E-2</v>
      </c>
      <c r="I17" s="456">
        <f>IF(ISNUMBER(((NºAsuntos!I17/NºAsuntos!G17)-Datos!BE17)/Datos!BE17),((NºAsuntos!I17/NºAsuntos!G17)-Datos!BE17)/Datos!BE17," - ")</f>
        <v>-0.13134959063297835</v>
      </c>
      <c r="J17" s="461">
        <f>IF(ISNUMBER((('Resol  Asuntos'!D17/NºAsuntos!G17)-Datos!BF17)/Datos!BF17),(('Resol  Asuntos'!D17/NºAsuntos!G17)-Datos!BF17)/Datos!BF17," - ")</f>
        <v>-6.6399398646955696E-2</v>
      </c>
      <c r="K17" s="462">
        <f>IF(ISNUMBER((((NºAsuntos!C17+NºAsuntos!E17)/NºAsuntos!G17)-Datos!BG17)/Datos!BG17),(((NºAsuntos!C17+NºAsuntos!E17)/NºAsuntos!G17)-Datos!BG17)/Datos!BG17," - ")</f>
        <v>-2.8885747649191777E-2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-0.1111111111111111</v>
      </c>
      <c r="C18" s="855">
        <f>IF(ISNUMBER(
   IF(Criterios!B14="SI",(Datos!J18-Datos!T18)/Datos!T18,(Datos!J18+Datos!AD18-(Datos!T18+Datos!AL18))/(Datos!T18+Datos!AL18))
     ),IF(Criterios!B14="SI",(Datos!J18-Datos!T18)/Datos!T18,(Datos!J18+Datos!AD18-(Datos!T18+Datos!AL18))/(Datos!T18+Datos!AL18))," - ")</f>
        <v>9.1378625347636078E-2</v>
      </c>
      <c r="D18" s="855">
        <f>IF(ISNUMBER(
   IF(Criterios!B14="SI",(Datos!K18-Datos!U18)/Datos!U18,(Datos!K18+Datos!AE18-(Datos!U18+Datos!AM18))/(Datos!U18+Datos!AM18))
     ),IF(Criterios!B14="SI",(Datos!K18-Datos!U18)/Datos!U18,(Datos!K18+Datos!AE18-(Datos!U18+Datos!AM18))/(Datos!U18+Datos!AM18))," - ")</f>
        <v>-5.6015779092702167E-2</v>
      </c>
      <c r="E18" s="855">
        <f>IF(ISNUMBER(
   IF(Criterios!B14="SI",(Datos!L18-Datos!V18)/Datos!V18,(Datos!L18+Datos!AF18-(Datos!V18+Datos!AN18))/(Datos!V18+Datos!AN18))
     ),IF(Criterios!B14="SI",(Datos!L18-Datos!V18)/Datos!V18,(Datos!L18+Datos!AF18-(Datos!V18+Datos!AN18))/(Datos!V18+Datos!AN18))," - ")</f>
        <v>0.21745562130177515</v>
      </c>
      <c r="F18" s="856">
        <f>IF(ISNUMBER((Datos!M18-Datos!W18)/Datos!W18),(Datos!M18-Datos!W18)/Datos!W18," - ")</f>
        <v>3.7267080745341616E-2</v>
      </c>
      <c r="G18" s="857">
        <f>IF(ISNUMBER((Datos!N18-Datos!X18)/Datos!X18),(Datos!N18-Datos!X18)/Datos!X18," - ")</f>
        <v>-2.6408450704225352E-2</v>
      </c>
      <c r="H18" s="857">
        <f>IF(ISNUMBER(((NºAsuntos!G18/NºAsuntos!E18)-Datos!BD18)/Datos!BD18),((NºAsuntos!G18/NºAsuntos!E18)-Datos!BD18)/Datos!BD18," - ")</f>
        <v>-0.13505340952906128</v>
      </c>
      <c r="I18" s="857">
        <f>IF(ISNUMBER(((NºAsuntos!I18/NºAsuntos!G18)-Datos!BE18)/Datos!BE18),((NºAsuntos!I18/NºAsuntos!G18)-Datos!BE18)/Datos!BE18," - ")</f>
        <v>0.28969912244045126</v>
      </c>
      <c r="J18" s="857">
        <f>IF(ISNUMBER((('Resol  Asuntos'!D18/NºAsuntos!G18)-Datos!BF18)/Datos!BF18),(('Resol  Asuntos'!D18/NºAsuntos!G18)-Datos!BF18)/Datos!BF18," - ")</f>
        <v>9.8818240572269442E-2</v>
      </c>
      <c r="K18" s="857">
        <f>IF(ISNUMBER((((NºAsuntos!C18+NºAsuntos!E18)/NºAsuntos!G18)-Datos!BG18)/Datos!BG18),(((NºAsuntos!C18+NºAsuntos!E18)/NºAsuntos!G18)-Datos!BG18)/Datos!BG18," - ")</f>
        <v>7.5342644376956217E-2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-5.7363300905736332E-2</v>
      </c>
      <c r="C19" s="802">
        <f>IF(ISNUMBER(
   IF(J_V="SI",(Datos!J19-Datos!T19)/Datos!T19,(Datos!J19+Datos!Z19-(Datos!T19+Datos!AH19))/(Datos!T19+Datos!AH19))
     ),IF(J_V="SI",(Datos!J19-Datos!T19)/Datos!T19,(Datos!J19+Datos!Z19-(Datos!T19+Datos!AH19))/(Datos!T19+Datos!AH19))," - ")</f>
        <v>0.11394072447859495</v>
      </c>
      <c r="D19" s="802">
        <f>IF(ISNUMBER(
   IF(J_V="SI",(Datos!K19-Datos!U19)/Datos!U19,(Datos!K19+Datos!AA19-(Datos!U19+Datos!AI19))/(Datos!U19+Datos!AI19))
     ),IF(J_V="SI",(Datos!K19-Datos!U19)/Datos!U19,(Datos!K19+Datos!AA19-(Datos!U19+Datos!AI19))/(Datos!U19+Datos!AI19))," - ")</f>
        <v>5.7653631284916199E-2</v>
      </c>
      <c r="E19" s="802">
        <f>IF(ISNUMBER(
   IF(J_V="SI",(Datos!L19-Datos!V19)/Datos!V19,(Datos!L19+Datos!AB19-(Datos!V19+Datos!AJ19))/(Datos!V19+Datos!AJ19))
     ),IF(J_V="SI",(Datos!L19-Datos!V19)/Datos!V19,(Datos!L19+Datos!AB19-(Datos!V19+Datos!AJ19))/(Datos!V19+Datos!AJ19))," - ")</f>
        <v>9.0747330960854092E-2</v>
      </c>
      <c r="F19" s="803">
        <f>IF(ISNUMBER((Datos!M19-Datos!W19)/Datos!W19),(Datos!M19-Datos!W19)/Datos!W19," - ")</f>
        <v>0.11461318051575932</v>
      </c>
      <c r="G19" s="804">
        <f>IF(ISNUMBER((Datos!N19-Datos!X19)/Datos!X19),(Datos!N19-Datos!X19)/Datos!X19," - ")</f>
        <v>0.12156633547632963</v>
      </c>
      <c r="H19" s="805">
        <f>IF(ISNUMBER((Tasas!B19-Datos!BD19)/Datos!BD19),(Tasas!B19-Datos!BD19)/Datos!BD19," - ")</f>
        <v>-5.0529702305322555E-2</v>
      </c>
      <c r="I19" s="806">
        <f>IF(ISNUMBER((Tasas!C19-Datos!BE19)/Datos!BE19),(Tasas!C19-Datos!BE19)/Datos!BE19," - ")</f>
        <v>3.1289732949465805E-2</v>
      </c>
      <c r="J19" s="807">
        <f>IF(ISNUMBER((Tasas!D19-Datos!BF19)/Datos!BF19),(Tasas!D19-Datos!BF19)/Datos!BF19," - ")</f>
        <v>2.8318547825749635E-2</v>
      </c>
      <c r="K19" s="807">
        <f>IF(ISNUMBER((Tasas!E19-Datos!BG19)/Datos!BG19),(Tasas!E19-Datos!BG19)/Datos!BG19," - ")</f>
        <v>-1.0849759312914788E-2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YZ6Zk1OgqJH4jCETBF886ZKVEnTosecgYeP2DE0V6Uubtf6a31cPDEAgUoCrXM9dXD2q9IJBuKcMnitMGgwtMg==" saltValue="cSWN5XchAsGESc8W8ZxVL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PAIS VASCO</v>
      </c>
    </row>
    <row r="3" spans="1:7" ht="19.5">
      <c r="A3" s="436" t="s">
        <v>12</v>
      </c>
      <c r="B3" s="391" t="str">
        <f>Criterios!A10 &amp;"  "&amp;Criterios!B10</f>
        <v>Provincias  GIPUZKOA</v>
      </c>
    </row>
    <row r="4" spans="1:7" ht="11.25" customHeight="1" thickBot="1">
      <c r="B4" s="391" t="str">
        <f>Criterios!A11 &amp;"  "&amp;Criterios!B11</f>
        <v>Resumenes por Partidos Judiciales  TOLOSA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1.2608695652173914</v>
      </c>
      <c r="C10" s="443">
        <f>IF(ISNUMBER(NºAsuntos!I10/NºAsuntos!G10),NºAsuntos!I10/NºAsuntos!G10," - ")</f>
        <v>0.65517241379310343</v>
      </c>
      <c r="D10" s="444">
        <f>IF(ISNUMBER('Resol  Asuntos'!D10/NºAsuntos!G10),'Resol  Asuntos'!D10/NºAsuntos!G10," - ")</f>
        <v>0.58620689655172409</v>
      </c>
      <c r="E10" s="445">
        <f>IF(ISNUMBER((NºAsuntos!C10+NºAsuntos!E10)/NºAsuntos!G10),(NºAsuntos!C10+NºAsuntos!E10)/NºAsuntos!G10," - ")</f>
        <v>1.7758620689655173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1.0004384042086805</v>
      </c>
      <c r="C12" s="443">
        <f>IF(ISNUMBER(NºAsuntos!I12/NºAsuntos!G12),NºAsuntos!I12/NºAsuntos!G12," - ")</f>
        <v>0.60517090271691498</v>
      </c>
      <c r="D12" s="444">
        <f>IF(ISNUMBER('Resol  Asuntos'!D12/NºAsuntos!G12),'Resol  Asuntos'!D12/NºAsuntos!G12," - ")</f>
        <v>0.27695004382120947</v>
      </c>
      <c r="E12" s="445">
        <f>IF(ISNUMBER((NºAsuntos!C12+NºAsuntos!E12)/NºAsuntos!G12),(NºAsuntos!C12+NºAsuntos!E12)/NºAsuntos!G12," - ")</f>
        <v>1.6134969325153374</v>
      </c>
      <c r="G12" s="463"/>
    </row>
    <row r="13" spans="1:7" ht="14.25" thickTop="1" thickBot="1">
      <c r="A13" s="848" t="str">
        <f>Datos!A13</f>
        <v>TOTAL</v>
      </c>
      <c r="B13" s="858">
        <f>IF(ISNUMBER(NºAsuntos!G13/NºAsuntos!E13),NºAsuntos!G13/NºAsuntos!E13," - ")</f>
        <v>1.005586592178771</v>
      </c>
      <c r="C13" s="859">
        <f>IF(ISNUMBER(NºAsuntos!I13/NºAsuntos!G13),NºAsuntos!I13/NºAsuntos!G13," - ")</f>
        <v>0.60641025641025637</v>
      </c>
      <c r="D13" s="860">
        <f>IF(ISNUMBER('Resol  Asuntos'!D13/NºAsuntos!G13),'Resol  Asuntos'!D13/NºAsuntos!G13," - ")</f>
        <v>0.2846153846153846</v>
      </c>
      <c r="E13" s="861">
        <f>IF(ISNUMBER((NºAsuntos!C13+NºAsuntos!E13)/NºAsuntos!G13),(NºAsuntos!C13+NºAsuntos!E13)/NºAsuntos!G13," - ")</f>
        <v>1.6175213675213675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0.85597045547804673</v>
      </c>
      <c r="C16" s="443">
        <f>IF(ISNUMBER(NºAsuntos!I16/NºAsuntos!G16),NºAsuntos!I16/NºAsuntos!G16," - ")</f>
        <v>0.72051773729626079</v>
      </c>
      <c r="D16" s="444">
        <f>IF(ISNUMBER('Resol  Asuntos'!D16/NºAsuntos!G16),'Resol  Asuntos'!D16/NºAsuntos!G16," - ")</f>
        <v>0.21428571428571427</v>
      </c>
      <c r="E16" s="445">
        <f>IF(ISNUMBER((NºAsuntos!C16+NºAsuntos!E16)/NºAsuntos!G16),(NºAsuntos!C16+NºAsuntos!E16)/NºAsuntos!G16," - ")</f>
        <v>1.7454458293384467</v>
      </c>
      <c r="G16" s="463"/>
    </row>
    <row r="17" spans="1:7" ht="13.5" thickBot="1">
      <c r="A17" s="402" t="str">
        <f>Datos!A17</f>
        <v>Jdos. Violencia contra la mujer</v>
      </c>
      <c r="B17" s="442">
        <f>IF(ISNUMBER(NºAsuntos!G17/NºAsuntos!E17),NºAsuntos!G17/NºAsuntos!E17," - ")</f>
        <v>0.99032258064516132</v>
      </c>
      <c r="C17" s="443">
        <f>IF(ISNUMBER(NºAsuntos!I17/NºAsuntos!G17),NºAsuntos!I17/NºAsuntos!G17," - ")</f>
        <v>0.46579804560260585</v>
      </c>
      <c r="D17" s="444">
        <f>IF(ISNUMBER('Resol  Asuntos'!D17/NºAsuntos!G17),'Resol  Asuntos'!D17/NºAsuntos!G17," - ")</f>
        <v>0.1758957654723127</v>
      </c>
      <c r="E17" s="445">
        <f>IF(ISNUMBER((NºAsuntos!C17+NºAsuntos!E17)/NºAsuntos!G17),(NºAsuntos!C17+NºAsuntos!E17)/NºAsuntos!G17," - ")</f>
        <v>1.49185667752443</v>
      </c>
      <c r="G17" s="463"/>
    </row>
    <row r="18" spans="1:7" ht="14.25" thickTop="1" thickBot="1">
      <c r="A18" s="848" t="str">
        <f>Datos!A18</f>
        <v>TOTAL</v>
      </c>
      <c r="B18" s="858">
        <f>IF(ISNUMBER(NºAsuntos!G18/NºAsuntos!E18),NºAsuntos!G18/NºAsuntos!E18," - ")</f>
        <v>0.87113214415726248</v>
      </c>
      <c r="C18" s="859">
        <f>IF(ISNUMBER(NºAsuntos!I18/NºAsuntos!G18),NºAsuntos!I18/NºAsuntos!G18," - ")</f>
        <v>0.68783953196824066</v>
      </c>
      <c r="D18" s="862">
        <f>IF(ISNUMBER('Resol  Asuntos'!D18/NºAsuntos!G18),'Resol  Asuntos'!D18/NºAsuntos!G18," - ")</f>
        <v>0.20936063518595904</v>
      </c>
      <c r="E18" s="861">
        <f>IF(ISNUMBER((NºAsuntos!C18+NºAsuntos!E18)/NºAsuntos!G18),(NºAsuntos!C18+NºAsuntos!E18)/NºAsuntos!G18," - ")</f>
        <v>1.712912661930631</v>
      </c>
      <c r="G18" s="463"/>
    </row>
    <row r="19" spans="1:7" ht="15.75" customHeight="1" thickTop="1" thickBot="1">
      <c r="A19" s="793" t="str">
        <f>Datos!A19</f>
        <v>TOTAL JURISDICCIONES</v>
      </c>
      <c r="B19" s="808">
        <f>IF(ISNUMBER(NºAsuntos!G19/NºAsuntos!E19),NºAsuntos!G19/NºAsuntos!E19," - ")</f>
        <v>0.9327946393378006</v>
      </c>
      <c r="C19" s="809">
        <f>IF(ISNUMBER(NºAsuntos!I19/NºAsuntos!G19),NºAsuntos!I19/NºAsuntos!G19," - ")</f>
        <v>0.64758081555039082</v>
      </c>
      <c r="D19" s="810">
        <f>IF(ISNUMBER('Resol  Asuntos'!D19/NºAsuntos!G19),'Resol  Asuntos'!D19/NºAsuntos!G19," - ")</f>
        <v>0.24656665962391719</v>
      </c>
      <c r="E19" s="811">
        <f>IF(ISNUMBER((NºAsuntos!C19+NºAsuntos!E19)/NºAsuntos!G19),(NºAsuntos!C19+NºAsuntos!E19)/NºAsuntos!G19," - ")</f>
        <v>1.6657511092330446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0d5V8BGMNZ2p5b4vF27Jdsj2AHalCQUXgZndUb0C8VomqG+qKRftVGUpYCR6zuCVlp/DNXkIRCe1dd7n5H5d2A==" saltValue="k23r4WSlqLtT3PCuvYbQJ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PAIS VASCO</v>
      </c>
      <c r="G2" s="263"/>
      <c r="H2" s="262"/>
      <c r="I2" s="262"/>
      <c r="J2" s="262"/>
      <c r="K2" s="262"/>
      <c r="L2" s="262" t="str">
        <f>Criterios!A10 &amp;"  "&amp;Criterios!B10</f>
        <v>Provincias  GIPUZKOA</v>
      </c>
      <c r="N2" s="262" t="str">
        <f>Criterios!A11 &amp;"  "&amp;Criterios!B11</f>
        <v>Resumenes por Partidos Judiciales  TOLOSA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50</v>
      </c>
      <c r="G10" s="333">
        <f>IF(ISNUMBER(Datos!I10),Datos!I10," - ")</f>
        <v>57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58</v>
      </c>
      <c r="X10" s="226">
        <f>IF(ISNUMBER(Datos!Q10),Datos!Q10," - ")</f>
        <v>20</v>
      </c>
      <c r="Y10" s="334">
        <f t="shared" ref="Y10:Y12" si="0">SUM(W10:X10)</f>
        <v>78</v>
      </c>
      <c r="Z10" s="335" t="str">
        <f>IF(ISNUMBER(Datos!CC10),Datos!CC10," - ")</f>
        <v xml:space="preserve"> - </v>
      </c>
      <c r="AA10" s="332">
        <f>IF(ISNUMBER(Datos!L10),Datos!L10,"-")</f>
        <v>38</v>
      </c>
      <c r="AB10" s="334">
        <f>IF(ISNUMBER(Datos!R10),Datos!R10," - ")</f>
        <v>24</v>
      </c>
      <c r="AC10" s="334">
        <f t="shared" ref="AC10:AC12" si="1">IF(ISNUMBER(AA10+AB10),AA10+AB10," - ")</f>
        <v>62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34</v>
      </c>
      <c r="AJ10" s="231" t="str">
        <f>IF(ISNUMBER(Datos!BW10),Datos!BW10," - ")</f>
        <v xml:space="preserve"> - </v>
      </c>
      <c r="AK10" s="232" t="str">
        <f>IF(ISNUMBER(Datos!BX10),Datos!BX10," - ")</f>
        <v xml:space="preserve"> - </v>
      </c>
      <c r="AL10" s="243">
        <f>IF(ISNUMBER(NºAsuntos!G10/NºAsuntos!E10),NºAsuntos!G10/NºAsuntos!E10," - ")</f>
        <v>1.2608695652173914</v>
      </c>
      <c r="AM10" s="260">
        <f>IF(ISNUMBER(((NºAsuntos!I10/NºAsuntos!G10)*11)/factor_trimestre),((NºAsuntos!I10/NºAsuntos!G10)*11)/factor_trimestre," - ")</f>
        <v>7.2068965517241379</v>
      </c>
      <c r="AN10" s="244">
        <f>IF(ISNUMBER('Resol  Asuntos'!D10/NºAsuntos!G10),'Resol  Asuntos'!D10/NºAsuntos!G10," - ")</f>
        <v>0.58620689655172409</v>
      </c>
      <c r="AO10" s="245">
        <f>IF(ISNUMBER((NºAsuntos!C10+NºAsuntos!E10)/NºAsuntos!G10),(NºAsuntos!C10+NºAsuntos!E10)/NºAsuntos!G10," - ")</f>
        <v>1.7758620689655173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444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655</v>
      </c>
      <c r="Y12" s="334">
        <f t="shared" si="0"/>
        <v>655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799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632</v>
      </c>
      <c r="AJ12" s="229" t="str">
        <f>IF(ISNUMBER(Datos!BW12),Datos!BW12," - ")</f>
        <v xml:space="preserve"> - </v>
      </c>
      <c r="AK12" s="228" t="str">
        <f>IF(ISNUMBER(Datos!BX12),Datos!BX12," - ")</f>
        <v xml:space="preserve"> - </v>
      </c>
      <c r="AL12" s="243">
        <f>IF(ISNUMBER(NºAsuntos!G12/NºAsuntos!E12),NºAsuntos!G12/NºAsuntos!E12," - ")</f>
        <v>1.0004384042086805</v>
      </c>
      <c r="AM12" s="260">
        <f>IF(ISNUMBER(((NºAsuntos!I12/NºAsuntos!G12)*11)/factor_trimestre),((NºAsuntos!I12/NºAsuntos!G12)*11)/factor_trimestre," - ")</f>
        <v>6.656879929886065</v>
      </c>
      <c r="AN12" s="244">
        <f>IF(ISNUMBER('Resol  Asuntos'!D12/NºAsuntos!G12),'Resol  Asuntos'!D12/NºAsuntos!G12," - ")</f>
        <v>0.27695004382120947</v>
      </c>
      <c r="AO12" s="245">
        <f>IF(ISNUMBER((NºAsuntos!C12+NºAsuntos!E12)/NºAsuntos!G12),(NºAsuntos!C12+NºAsuntos!E12)/NºAsuntos!G12," - ")</f>
        <v>1.6134969325153374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50</v>
      </c>
      <c r="G13" s="866">
        <f t="shared" si="3"/>
        <v>57</v>
      </c>
      <c r="H13" s="865">
        <f t="shared" si="3"/>
        <v>0</v>
      </c>
      <c r="I13" s="867">
        <f t="shared" si="3"/>
        <v>0</v>
      </c>
      <c r="J13" s="867">
        <f t="shared" si="3"/>
        <v>0</v>
      </c>
      <c r="K13" s="867">
        <f t="shared" si="3"/>
        <v>0</v>
      </c>
      <c r="L13" s="867">
        <f t="shared" si="3"/>
        <v>454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58</v>
      </c>
      <c r="X13" s="867">
        <f t="shared" si="4"/>
        <v>675</v>
      </c>
      <c r="Y13" s="868">
        <f t="shared" si="4"/>
        <v>733</v>
      </c>
      <c r="Z13" s="868">
        <f t="shared" si="4"/>
        <v>0</v>
      </c>
      <c r="AA13" s="868">
        <f t="shared" si="4"/>
        <v>38</v>
      </c>
      <c r="AB13" s="868">
        <f t="shared" si="4"/>
        <v>823</v>
      </c>
      <c r="AC13" s="868">
        <f t="shared" si="4"/>
        <v>62</v>
      </c>
      <c r="AD13" s="868">
        <f t="shared" si="4"/>
        <v>0</v>
      </c>
      <c r="AE13" s="872">
        <f t="shared" si="4"/>
        <v>0</v>
      </c>
      <c r="AF13" s="865">
        <f t="shared" si="4"/>
        <v>0</v>
      </c>
      <c r="AG13" s="873">
        <f t="shared" si="4"/>
        <v>0</v>
      </c>
      <c r="AH13" s="870">
        <f t="shared" si="4"/>
        <v>0</v>
      </c>
      <c r="AI13" s="865">
        <f t="shared" si="4"/>
        <v>666</v>
      </c>
      <c r="AJ13" s="867">
        <f t="shared" si="4"/>
        <v>0</v>
      </c>
      <c r="AK13" s="870">
        <f>SUBTOTAL(9,AK9:AK12)</f>
        <v>0</v>
      </c>
      <c r="AL13" s="874">
        <f>IF(ISNUMBER(NºAsuntos!G13/NºAsuntos!E13),NºAsuntos!G13/NºAsuntos!E13," - ")</f>
        <v>1.005586592178771</v>
      </c>
      <c r="AM13" s="874">
        <f>IF(ISNUMBER(((NºAsuntos!I13/NºAsuntos!G13)*11)/factor_trimestre),((NºAsuntos!I13/NºAsuntos!G13)*11)/factor_trimestre," - ")</f>
        <v>6.6705128205128199</v>
      </c>
      <c r="AN13" s="875">
        <f>IF(ISNUMBER('Resol  Asuntos'!D13/NºAsuntos!G13),'Resol  Asuntos'!D13/NºAsuntos!G13," - ")</f>
        <v>0.2846153846153846</v>
      </c>
      <c r="AO13" s="876">
        <f>IF(ISNUMBER((NºAsuntos!C13+NºAsuntos!E13)/NºAsuntos!G13),(NºAsuntos!C13+NºAsuntos!E13)/NºAsuntos!G13," - ")</f>
        <v>1.6175213675213675</v>
      </c>
      <c r="AP13" s="877" t="str">
        <f t="shared" si="2"/>
        <v xml:space="preserve"> - </v>
      </c>
      <c r="AQ13" s="877">
        <f>IF(ISNUMBER((H13-W13+K13)/(F13)),(H13-W13+K13)/(F13)," - ")</f>
        <v>-1.1599999999999999</v>
      </c>
      <c r="AR13" s="878">
        <f>IF(ISNUMBER((Datos!P13-Datos!Q13)/(Datos!R13-Datos!P13+Datos!Q13)),(Datos!P13-Datos!Q13)/(Datos!R13-Datos!P13+Datos!Q13)," - ")</f>
        <v>-0.21168582375478928</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1152</v>
      </c>
      <c r="G16" s="333">
        <f>IF(ISNUMBER(IF(D_I="SI",Datos!I16,Datos!I16+Datos!AC16)),IF(D_I="SI",Datos!I16,Datos!I16+Datos!AC16)," - ")</f>
        <v>1204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2086</v>
      </c>
      <c r="X16" s="226">
        <f>IF(ISNUMBER(Datos!Q16),Datos!Q16," - ")</f>
        <v>96</v>
      </c>
      <c r="Y16" s="334">
        <f t="shared" ref="Y16:Y17" si="7">SUM(W16:X16)</f>
        <v>2182</v>
      </c>
      <c r="Z16" s="335" t="str">
        <f>IF(ISNUMBER(Datos!CC16),Datos!CC16," - ")</f>
        <v xml:space="preserve"> - </v>
      </c>
      <c r="AA16" s="332">
        <f>IF(ISNUMBER(IF(D_I="SI",Datos!L16,Datos!L16+Datos!AF16)),IF(D_I="SI",Datos!L16,Datos!L16+Datos!AF16)," - ")</f>
        <v>1503</v>
      </c>
      <c r="AB16" s="334">
        <f>IF(ISNUMBER(Datos!R16),Datos!R16," - ")</f>
        <v>119</v>
      </c>
      <c r="AC16" s="334">
        <f t="shared" si="6"/>
        <v>1622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447</v>
      </c>
      <c r="AJ16" s="231" t="str">
        <f>IF(ISNUMBER(Datos!BW16),Datos!BW16," - ")</f>
        <v xml:space="preserve"> - </v>
      </c>
      <c r="AK16" s="232" t="str">
        <f>IF(ISNUMBER(Datos!BX16),Datos!BX16," - ")</f>
        <v xml:space="preserve"> - </v>
      </c>
      <c r="AL16" s="243">
        <f>IF(ISNUMBER(NºAsuntos!G16/NºAsuntos!E16),NºAsuntos!G16/NºAsuntos!E16," - ")</f>
        <v>0.85597045547804673</v>
      </c>
      <c r="AM16" s="260">
        <f>IF(ISNUMBER(((NºAsuntos!I16/NºAsuntos!G16)*11)/factor_trimestre),((NºAsuntos!I16/NºAsuntos!G16)*11)/factor_trimestre," - ")</f>
        <v>7.9256951102588689</v>
      </c>
      <c r="AN16" s="244">
        <f>IF(ISNUMBER('Resol  Asuntos'!D16/NºAsuntos!G16),'Resol  Asuntos'!D16/NºAsuntos!G16," - ")</f>
        <v>0.21428571428571427</v>
      </c>
      <c r="AO16" s="245">
        <f>IF(ISNUMBER((NºAsuntos!C16+NºAsuntos!E16)/NºAsuntos!G16),(NºAsuntos!C16+NºAsuntos!E16)/NºAsuntos!G16," - ")</f>
        <v>1.7454458293384467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148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307</v>
      </c>
      <c r="X17" s="226">
        <f>IF(ISNUMBER(Datos!Q17),Datos!Q17," - ")</f>
        <v>0</v>
      </c>
      <c r="Y17" s="334">
        <f t="shared" si="7"/>
        <v>307</v>
      </c>
      <c r="Z17" s="335" t="str">
        <f>IF(ISNUMBER(Datos!CC17),Datos!CC17," - ")</f>
        <v xml:space="preserve"> - </v>
      </c>
      <c r="AA17" s="332">
        <f>IF(ISNUMBER(Datos!L17),Datos!L17,"-")</f>
        <v>143</v>
      </c>
      <c r="AB17" s="334">
        <f>IF(ISNUMBER(Datos!R17),Datos!R17," - ")</f>
        <v>0</v>
      </c>
      <c r="AC17" s="334">
        <f t="shared" si="6"/>
        <v>143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54</v>
      </c>
      <c r="AJ17" s="231" t="str">
        <f>IF(ISNUMBER(Datos!BW17),Datos!BW17," - ")</f>
        <v xml:space="preserve"> - </v>
      </c>
      <c r="AK17" s="232" t="str">
        <f>IF(ISNUMBER(Datos!BX17),Datos!BX17," - ")</f>
        <v xml:space="preserve"> - </v>
      </c>
      <c r="AL17" s="243">
        <f>IF(ISNUMBER(NºAsuntos!G17/NºAsuntos!E17),NºAsuntos!G17/NºAsuntos!E17," - ")</f>
        <v>0.99032258064516132</v>
      </c>
      <c r="AM17" s="260">
        <f>IF(ISNUMBER(((NºAsuntos!I17/NºAsuntos!G17)*11)/factor_trimestre),((NºAsuntos!I17/NºAsuntos!G17)*11)/factor_trimestre," - ")</f>
        <v>5.1237785016286646</v>
      </c>
      <c r="AN17" s="244">
        <f>IF(ISNUMBER('Resol  Asuntos'!D17/NºAsuntos!G17),'Resol  Asuntos'!D17/NºAsuntos!G17," - ")</f>
        <v>0.1758957654723127</v>
      </c>
      <c r="AO17" s="245">
        <f>IF(ISNUMBER((NºAsuntos!C17+NºAsuntos!E17)/NºAsuntos!G17),(NºAsuntos!C17+NºAsuntos!E17)/NºAsuntos!G17," - ")</f>
        <v>1.49185667752443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1152</v>
      </c>
      <c r="G18" s="866">
        <f>SUBTOTAL(9,G15:G17)</f>
        <v>1352</v>
      </c>
      <c r="H18" s="865">
        <f t="shared" ref="H18:O18" si="10">SUBTOTAL(9,H14:H17)</f>
        <v>0</v>
      </c>
      <c r="I18" s="867">
        <f t="shared" si="10"/>
        <v>0</v>
      </c>
      <c r="J18" s="867">
        <f t="shared" si="10"/>
        <v>0</v>
      </c>
      <c r="K18" s="867">
        <f t="shared" si="10"/>
        <v>0</v>
      </c>
      <c r="L18" s="867">
        <f t="shared" si="10"/>
        <v>65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2393</v>
      </c>
      <c r="X18" s="867">
        <f t="shared" si="11"/>
        <v>96</v>
      </c>
      <c r="Y18" s="868">
        <f t="shared" si="11"/>
        <v>2489</v>
      </c>
      <c r="Z18" s="868">
        <f t="shared" si="11"/>
        <v>0</v>
      </c>
      <c r="AA18" s="868">
        <f t="shared" si="11"/>
        <v>1646</v>
      </c>
      <c r="AB18" s="868">
        <f t="shared" si="11"/>
        <v>119</v>
      </c>
      <c r="AC18" s="868">
        <f t="shared" si="11"/>
        <v>1765</v>
      </c>
      <c r="AD18" s="868">
        <f t="shared" si="11"/>
        <v>0</v>
      </c>
      <c r="AE18" s="872">
        <f t="shared" si="11"/>
        <v>0</v>
      </c>
      <c r="AF18" s="865">
        <f t="shared" si="11"/>
        <v>0</v>
      </c>
      <c r="AG18" s="873">
        <f t="shared" si="11"/>
        <v>0</v>
      </c>
      <c r="AH18" s="870">
        <f t="shared" si="11"/>
        <v>0</v>
      </c>
      <c r="AI18" s="865">
        <f t="shared" si="11"/>
        <v>501</v>
      </c>
      <c r="AJ18" s="867">
        <f t="shared" si="11"/>
        <v>0</v>
      </c>
      <c r="AK18" s="870">
        <f t="shared" si="11"/>
        <v>0</v>
      </c>
      <c r="AL18" s="874">
        <f>IF(ISNUMBER(NºAsuntos!G18/NºAsuntos!E18),NºAsuntos!G18/NºAsuntos!E18," - ")</f>
        <v>0.87113214415726248</v>
      </c>
      <c r="AM18" s="874">
        <f>IF(ISNUMBER(((NºAsuntos!I18/NºAsuntos!G18)*11)/factor_trimestre),((NºAsuntos!I18/NºAsuntos!G18)*11)/factor_trimestre," - ")</f>
        <v>7.5662348516506475</v>
      </c>
      <c r="AN18" s="875">
        <f>IF(ISNUMBER('Resol  Asuntos'!D18/NºAsuntos!G18),'Resol  Asuntos'!D18/NºAsuntos!G18," - ")</f>
        <v>0.20936063518595904</v>
      </c>
      <c r="AO18" s="876">
        <f>IF(ISNUMBER((NºAsuntos!C18+NºAsuntos!E18)/NºAsuntos!G18),(NºAsuntos!C18+NºAsuntos!E18)/NºAsuntos!G18," - ")</f>
        <v>1.712912661930631</v>
      </c>
      <c r="AP18" s="877" t="str">
        <f t="shared" si="2"/>
        <v xml:space="preserve"> - </v>
      </c>
      <c r="AQ18" s="877">
        <f>IF(ISNUMBER((H18-W18+K18)/(F18)),(H18-W18+K18)/(F18)," - ")</f>
        <v>-2.0772569444444446</v>
      </c>
      <c r="AR18" s="878">
        <f>IF(ISNUMBER((Datos!P18-Datos!Q18)/(Datos!R18-Datos!P18+Datos!Q18)),(Datos!P18-Datos!Q18)/(Datos!R18-Datos!P18+Datos!Q18)," - ")</f>
        <v>-0.20666666666666667</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1202</v>
      </c>
      <c r="G19" s="821">
        <f t="shared" si="13"/>
        <v>1409</v>
      </c>
      <c r="H19" s="820">
        <f t="shared" si="13"/>
        <v>0</v>
      </c>
      <c r="I19" s="822">
        <f t="shared" si="13"/>
        <v>0</v>
      </c>
      <c r="J19" s="822">
        <f t="shared" si="13"/>
        <v>0</v>
      </c>
      <c r="K19" s="881">
        <f t="shared" si="13"/>
        <v>0</v>
      </c>
      <c r="L19" s="822">
        <f t="shared" si="13"/>
        <v>519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2451</v>
      </c>
      <c r="X19" s="821">
        <f t="shared" si="14"/>
        <v>771</v>
      </c>
      <c r="Y19" s="828">
        <f t="shared" si="14"/>
        <v>3222</v>
      </c>
      <c r="Z19" s="828">
        <f t="shared" si="14"/>
        <v>0</v>
      </c>
      <c r="AA19" s="828">
        <f t="shared" si="14"/>
        <v>1684</v>
      </c>
      <c r="AB19" s="828">
        <f t="shared" si="14"/>
        <v>942</v>
      </c>
      <c r="AC19" s="828">
        <f t="shared" si="14"/>
        <v>1827</v>
      </c>
      <c r="AD19" s="828">
        <f t="shared" si="14"/>
        <v>0</v>
      </c>
      <c r="AE19" s="830">
        <f t="shared" si="14"/>
        <v>0</v>
      </c>
      <c r="AF19" s="831">
        <f t="shared" si="14"/>
        <v>0</v>
      </c>
      <c r="AG19" s="832">
        <f t="shared" si="14"/>
        <v>0</v>
      </c>
      <c r="AH19" s="830">
        <f t="shared" si="14"/>
        <v>0</v>
      </c>
      <c r="AI19" s="820">
        <f t="shared" si="14"/>
        <v>1167</v>
      </c>
      <c r="AJ19" s="820">
        <f t="shared" si="14"/>
        <v>0</v>
      </c>
      <c r="AK19" s="830">
        <f t="shared" si="14"/>
        <v>0</v>
      </c>
      <c r="AL19" s="884">
        <f>IF(ISNUMBER(NºAsuntos!G19/NºAsuntos!E19),NºAsuntos!G19/NºAsuntos!E19," - ")</f>
        <v>0.9327946393378006</v>
      </c>
      <c r="AM19" s="885">
        <f>IF(ISNUMBER(((NºAsuntos!I19/NºAsuntos!G19)*11)/factor_trimestre),((NºAsuntos!I19/NºAsuntos!G19)*11)/factor_trimestre," - ")</f>
        <v>7.1233889710542986</v>
      </c>
      <c r="AN19" s="885">
        <f>IF(ISNUMBER('Resol  Asuntos'!D19/NºAsuntos!G19),'Resol  Asuntos'!D19/NºAsuntos!G19," - ")</f>
        <v>0.24656665962391719</v>
      </c>
      <c r="AO19" s="886">
        <f>IF(ISNUMBER((NºAsuntos!C19+NºAsuntos!E19)/NºAsuntos!G19),(NºAsuntos!C19+NºAsuntos!E19)/NºAsuntos!G19," - ")</f>
        <v>1.6657511092330446</v>
      </c>
      <c r="AP19" s="887" t="str">
        <f t="shared" si="2"/>
        <v xml:space="preserve"> - </v>
      </c>
      <c r="AQ19" s="888">
        <f>IF(OR(ISNUMBER(FIND("01",Criterios!A8,1)),ISNUMBER(FIND("02",Criterios!A8,1)),ISNUMBER(FIND("03",Criterios!A8,1)),ISNUMBER(FIND("04",Criterios!A8,1))),(I19-W19+K19)/(F19-K19),(H19-W19+K19)/(F19-K19))</f>
        <v>-2.0391014975041597</v>
      </c>
      <c r="AR19" s="889">
        <f>IF(ISNUMBER((Datos!P19-Datos!Q19)/(Datos!R19-Datos!P19+Datos!Q19)),(Datos!P19-Datos!Q19)/(Datos!R19-Datos!P19+Datos!Q19)," - ")</f>
        <v>-0.21105527638190955</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563.6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636.2399966469676</v>
      </c>
      <c r="G21" s="253">
        <f>IF(ISNUMBER(STDEV(G8:G18)),STDEV(G8:G18),"-")</f>
        <v>655.30473827067658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1158.9759704152627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279.26188425920213</v>
      </c>
      <c r="AJ21" s="252">
        <f t="shared" si="18"/>
        <v>0</v>
      </c>
      <c r="AK21" s="254">
        <f t="shared" si="18"/>
        <v>0</v>
      </c>
      <c r="AL21" s="249">
        <f t="shared" si="18"/>
        <v>0.1452504321931268</v>
      </c>
      <c r="AM21" s="250">
        <f t="shared" si="18"/>
        <v>0.98452247538370852</v>
      </c>
      <c r="AN21" s="250">
        <f t="shared" si="18"/>
        <v>0.15045533604449599</v>
      </c>
      <c r="AO21" s="251">
        <f t="shared" si="18"/>
        <v>0.10560539662470143</v>
      </c>
      <c r="AP21" s="291" t="str">
        <f t="shared" si="18"/>
        <v>-</v>
      </c>
      <c r="AQ21" s="292">
        <f t="shared" si="18"/>
        <v>0.64859860550711834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Xhu3ZfXf7kFGNYImqNbUibFLvUcxoCw4iCR3+R+jB6aCXGoI71tuaNJnwmd9aJkwmWN+GL1dKcH/S9BX61Sb3A==" saltValue="cDKCmkq6OLcyZ4Wt+el70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PAIS VASCO</v>
      </c>
      <c r="E2" s="263"/>
    </row>
    <row r="3" spans="2:20" ht="17.25" customHeight="1">
      <c r="C3" s="267"/>
      <c r="D3" s="262" t="str">
        <f>Criterios!A10 &amp;"  "&amp;Criterios!B10</f>
        <v>Provincias  GIPUZKOA</v>
      </c>
      <c r="E3" s="263"/>
    </row>
    <row r="4" spans="2:20" ht="17.25" customHeight="1" thickBot="1">
      <c r="D4" s="262" t="str">
        <f>Criterios!A11 &amp;"  "&amp;Criterios!B11</f>
        <v>Resumenes por Partidos Judiciales  TOLOSA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v>
      </c>
      <c r="E10" s="348">
        <f>IF(ISNUMBER((Datos!J10-Datos!T10)/Datos!T10),(Datos!J10-Datos!T10)/Datos!T10," - ")</f>
        <v>-4.1666666666666664E-2</v>
      </c>
      <c r="F10" s="348">
        <f>IF(ISNUMBER((Datos!K10-Datos!U10)/Datos!U10),(Datos!K10-Datos!U10)/Datos!U10," - ")</f>
        <v>0.2608695652173913</v>
      </c>
      <c r="G10" s="349">
        <f>IF(ISNUMBER((Datos!L10-Datos!V10)/Datos!V10),(Datos!L10-Datos!V10)/Datos!V10," - ")</f>
        <v>-0.33333333333333331</v>
      </c>
      <c r="H10" s="230">
        <f>IF(ISNUMBER((Datos!M10-Datos!W10)/Datos!W10),(Datos!M10-Datos!W10)/Datos!W10," - ")</f>
        <v>0.41666666666666669</v>
      </c>
      <c r="I10" s="350">
        <f>IF(ISNUMBER((Tasas!C10-Datos!BE10)/Datos!BE10),(Tasas!C10-Datos!BE10)/Datos!BE10," - ")</f>
        <v>-0.47126436781609193</v>
      </c>
      <c r="J10" s="349">
        <f>IF(ISNUMBER((Tasas!D10-Datos!BF10)/Datos!BF10),(Tasas!D10-Datos!BF10)/Datos!BF10," - ")</f>
        <v>0.12356321839080453</v>
      </c>
      <c r="K10" s="351">
        <f>IF(ISNUMBER((Tasas!E10-Datos!BG10)/Datos!BG10),(Tasas!E10-Datos!BG10)/Datos!BG10," - ")</f>
        <v>-5.0120288692862856E-2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0.17037037037037037</v>
      </c>
      <c r="I12" s="350">
        <f>IF(ISNUMBER((Tasas!C12-Datos!BE12)/Datos!BE12),(Tasas!C12-Datos!BE12)/Datos!BE12," - ")</f>
        <v>-0.18187459689804644</v>
      </c>
      <c r="J12" s="349">
        <f>IF(ISNUMBER((Tasas!D12-Datos!BF12)/Datos!BF12),(Tasas!D12-Datos!BF12)/Datos!BF12," - ")</f>
        <v>-7.3244906365069418E-2</v>
      </c>
      <c r="K12" s="351">
        <f>IF(ISNUMBER((Tasas!E12-Datos!BG12)/Datos!BG12),(Tasas!E12-Datos!BG12)/Datos!BG12," - ")</f>
        <v>-0.10434842022741821</v>
      </c>
      <c r="M12" t="e">
        <f>IF(Monitorios="SI",Datos!CE12,0)</f>
        <v>#REF!</v>
      </c>
      <c r="N12" t="e">
        <f>IF(Monitorios="SI",Datos!CF12,0)</f>
        <v>#REF!</v>
      </c>
      <c r="O12" t="e">
        <f>IF(Monitorios="SI",Datos!CG12,0)</f>
        <v>#REF!</v>
      </c>
      <c r="P12" t="e">
        <f>IF(Monitorios="SI",Datos!CH12,0)</f>
        <v>#REF!</v>
      </c>
      <c r="Q12">
        <f>IF(J_V="SI",0,Datos!AG12)</f>
        <v>66</v>
      </c>
      <c r="R12">
        <f>IF(J_V="SI",0,Datos!AH12)</f>
        <v>129</v>
      </c>
      <c r="S12">
        <f>IF(J_V="SI",0,Datos!AI12)</f>
        <v>162</v>
      </c>
      <c r="T12">
        <f>IF(J_V="SI",0,Datos!AJ12)</f>
        <v>38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0.18085106382978725</v>
      </c>
      <c r="I13" s="357">
        <f>IF(ISNUMBER((Tasas!C13-Datos!BE13)/Datos!BE13),(Tasas!C13-Datos!BE13)/Datos!BE13," - ")</f>
        <v>-0.19311666842531044</v>
      </c>
      <c r="J13" s="355">
        <f>IF(ISNUMBER((Tasas!D13-Datos!BF13)/Datos!BF13),(Tasas!D13-Datos!BF13)/Datos!BF13," - ")</f>
        <v>-6.4146023468057325E-2</v>
      </c>
      <c r="K13" s="358">
        <f>IF(ISNUMBER((Tasas!E13-Datos!BG13)/Datos!BG13),(Tasas!E13-Datos!BG13)/Datos!BG13," - ")</f>
        <v>-0.10291839537122556</v>
      </c>
      <c r="M13" t="e">
        <f>IF(Monitorios="SI",Datos!CE13,0)</f>
        <v>#REF!</v>
      </c>
      <c r="N13" t="e">
        <f>IF(Monitorios="SI",Datos!CF13,0)</f>
        <v>#REF!</v>
      </c>
      <c r="O13" t="e">
        <f>IF(Monitorios="SI",Datos!CG13,0)</f>
        <v>#REF!</v>
      </c>
      <c r="P13" t="e">
        <f>IF(Monitorios="SI",Datos!CH13,0)</f>
        <v>#REF!</v>
      </c>
      <c r="Q13">
        <f>IF(J_V="SI",0,Datos!AG13)</f>
        <v>66</v>
      </c>
      <c r="R13">
        <f>IF(J_V="SI",0,Datos!AH13)</f>
        <v>129</v>
      </c>
      <c r="S13">
        <f>IF(J_V="SI",0,Datos!AI13)</f>
        <v>162</v>
      </c>
      <c r="T13">
        <f>IF(J_V="SI",0,Datos!AJ13)</f>
        <v>38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-0.12942877801879971</v>
      </c>
      <c r="E16" s="348">
        <f>IF(ISNUMBER(
   IF(D_I="SI",(Datos!J16-Datos!T16)/Datos!T16,(Datos!J16+Datos!AD16-(Datos!T16+Datos!AL16))/(Datos!T16+Datos!AL16))
     ),IF(D_I="SI",(Datos!J16-Datos!T16)/Datos!T16,(Datos!J16+Datos!AD16-(Datos!T16+Datos!AL16))/(Datos!T16+Datos!AL16))," - ")</f>
        <v>9.2335275661138499E-2</v>
      </c>
      <c r="F16" s="348">
        <f>IF(ISNUMBER(
   IF(D_I="SI",(Datos!K16-Datos!U16)/Datos!U16,(Datos!K16+Datos!AE16-(Datos!U16+Datos!AM16))/(Datos!U16+Datos!AM16))
     ),IF(D_I="SI",(Datos!K16-Datos!U16)/Datos!U16,(Datos!K16+Datos!AE16-(Datos!U16+Datos!AM16))/(Datos!U16+Datos!AM16))," - ")</f>
        <v>-7.6582558654271798E-2</v>
      </c>
      <c r="G16" s="349">
        <f>IF(ISNUMBER(
   IF(D_I="SI",(Datos!L16-Datos!V16)/Datos!V16,(Datos!L16+Datos!AF16-(Datos!V16+Datos!AN16))/(Datos!V16+Datos!AN16))
     ),IF(D_I="SI",(Datos!L16-Datos!V16)/Datos!V16,(Datos!L16+Datos!AF16-(Datos!V16+Datos!AN16))/(Datos!V16+Datos!AN16))," - ")</f>
        <v>0.24833887043189368</v>
      </c>
      <c r="H16" s="230">
        <f>IF(ISNUMBER((Datos!M16-Datos!W16)/Datos!W16),(Datos!M16-Datos!W16)/Datos!W16," - ")</f>
        <v>3.7122969837587005E-2</v>
      </c>
      <c r="I16" s="350">
        <f>IF(ISNUMBER((Tasas!C16-Datos!BE16)/Datos!BE16),(Tasas!C16-Datos!BE16)/Datos!BE16," - ")</f>
        <v>0.35186841241881478</v>
      </c>
      <c r="J16" s="349">
        <f>IF(ISNUMBER((Tasas!D16-Datos!BF16)/Datos!BF16),(Tasas!D16-Datos!BF16)/Datos!BF16," - ")</f>
        <v>0.12313556513092466</v>
      </c>
      <c r="K16" s="351">
        <f>IF(ISNUMBER((Tasas!E16-Datos!BG16)/Datos!BG16),(Tasas!E16-Datos!BG16)/Datos!BG16," - ")</f>
        <v>9.1024385300373822E-2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7.2463768115942032E-2</v>
      </c>
      <c r="E17" s="348">
        <f>IF(ISNUMBER(
   IF(D_I="SI",(Datos!J17-Datos!T17)/Datos!T17,(Datos!J17+Datos!AD17-(Datos!T17+Datos!AL17))/(Datos!T17+Datos!AL17))
     ),IF(D_I="SI",(Datos!J17-Datos!T17)/Datos!T17,(Datos!J17+Datos!AD17-(Datos!T17+Datos!AL17))/(Datos!T17+Datos!AL17))," - ")</f>
        <v>8.3916083916083919E-2</v>
      </c>
      <c r="F17" s="348">
        <f>IF(ISNUMBER(
   IF(D_I="SI",(Datos!K17-Datos!U17)/Datos!U17,(Datos!K17+Datos!AE17-(Datos!U17+Datos!AM17))/(Datos!U17+Datos!AM17))
     ),IF(D_I="SI",(Datos!K17-Datos!U17)/Datos!U17,(Datos!K17+Datos!AE17-(Datos!U17+Datos!AM17))/(Datos!U17+Datos!AM17))," - ")</f>
        <v>0.11231884057971014</v>
      </c>
      <c r="G17" s="349">
        <f>IF(ISNUMBER(
   IF(D_I="SI",(Datos!L17-Datos!V17)/Datos!V17,(Datos!L17+Datos!AF17-(Datos!V17+Datos!AN17))/(Datos!V17+Datos!AN17))
     ),IF(D_I="SI",(Datos!L17-Datos!V17)/Datos!V17,(Datos!L17+Datos!AF17-(Datos!V17+Datos!AN17))/(Datos!V17+Datos!AN17))," - ")</f>
        <v>-3.3783783783783786E-2</v>
      </c>
      <c r="H17" s="230">
        <f>IF(ISNUMBER((Datos!M17-Datos!W17)/Datos!W17),(Datos!M17-Datos!W17)/Datos!W17," - ")</f>
        <v>3.8461538461538464E-2</v>
      </c>
      <c r="I17" s="350">
        <f>IF(ISNUMBER((Tasas!C17-Datos!BE17)/Datos!BE17),(Tasas!C17-Datos!BE17)/Datos!BE17," - ")</f>
        <v>-0.13134959063297835</v>
      </c>
      <c r="J17" s="349">
        <f>IF(ISNUMBER((Tasas!D17-Datos!BF17)/Datos!BF17),(Tasas!D17-Datos!BF17)/Datos!BF17," - ")</f>
        <v>-6.6399398646955696E-2</v>
      </c>
      <c r="K17" s="351">
        <f>IF(ISNUMBER((Tasas!E17-Datos!BG17)/Datos!BG17),(Tasas!E17-Datos!BG17)/Datos!BG17," - ")</f>
        <v>-2.8885747649191777E-2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-0.1111111111111111</v>
      </c>
      <c r="E18" s="354">
        <f>IF(ISNUMBER(
   IF(D_I="SI",(Datos!J18-Datos!T18)/Datos!T18,(Datos!J18+Datos!AD18-(Datos!T18+Datos!AL18))/(Datos!T18+Datos!AL18))
     ),IF(D_I="SI",(Datos!J18-Datos!T18)/Datos!T18,(Datos!J18+Datos!AD18-(Datos!T18+Datos!AL18))/(Datos!T18+Datos!AL18))," - ")</f>
        <v>9.1378625347636078E-2</v>
      </c>
      <c r="F18" s="354">
        <f>IF(ISNUMBER(
   IF(D_I="SI",(Datos!K18-Datos!U18)/Datos!U18,(Datos!K18+Datos!AE18-(Datos!U18+Datos!AM18))/(Datos!U18+Datos!AM18))
     ),IF(D_I="SI",(Datos!K18-Datos!U18)/Datos!U18,(Datos!K18+Datos!AE18-(Datos!U18+Datos!AM18))/(Datos!U18+Datos!AM18))," - ")</f>
        <v>-5.6015779092702167E-2</v>
      </c>
      <c r="G18" s="355">
        <f>IF(ISNUMBER(
   IF(D_I="SI",(Datos!L18-Datos!V18)/Datos!V18,(Datos!L18+Datos!AF18-(Datos!V18+Datos!AN18))/(Datos!V18+Datos!AN18))
     ),IF(D_I="SI",(Datos!L18-Datos!V18)/Datos!V18,(Datos!L18+Datos!AF18-(Datos!V18+Datos!AN18))/(Datos!V18+Datos!AN18))," - ")</f>
        <v>0.21745562130177515</v>
      </c>
      <c r="H18" s="356">
        <f>IF(ISNUMBER((Datos!M18-Datos!W18)/Datos!W18),(Datos!M18-Datos!W18)/Datos!W18," - ")</f>
        <v>3.7267080745341616E-2</v>
      </c>
      <c r="I18" s="357">
        <f>IF(ISNUMBER((Tasas!C18-Datos!BE18)/Datos!BE18),(Tasas!C18-Datos!BE18)/Datos!BE18," - ")</f>
        <v>0.28969912244045126</v>
      </c>
      <c r="J18" s="355">
        <f>IF(ISNUMBER((Tasas!D18-Datos!BF18)/Datos!BF18),(Tasas!D18-Datos!BF18)/Datos!BF18," - ")</f>
        <v>9.8818240572269442E-2</v>
      </c>
      <c r="K18" s="358">
        <f>IF(ISNUMBER((Tasas!E18-Datos!BG18)/Datos!BG18),(Tasas!E18-Datos!BG18)/Datos!BG18," - ")</f>
        <v>7.5342644376956217E-2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-5.7363300905736332E-2</v>
      </c>
      <c r="E19" s="363">
        <f>IF(ISNUMBER(
   IF(J_V="SI",(Datos!J19-Datos!T19)/Datos!T19,(Datos!J19+Datos!Z19-(Datos!T19+Datos!AH19))/(Datos!T19+Datos!AH19))
     ),IF(J_V="SI",(Datos!J19-Datos!T19)/Datos!T19,(Datos!J19+Datos!Z19-(Datos!T19+Datos!AH19))/(Datos!T19+Datos!AH19))," - ")</f>
        <v>0.11394072447859495</v>
      </c>
      <c r="F19" s="363">
        <f>IF(ISNUMBER(
   IF(J_V="SI",(Datos!K19-Datos!U19)/Datos!U19,(Datos!K19+Datos!AA19-(Datos!U19+Datos!AI19))/(Datos!U19+Datos!AI19))
     ),IF(J_V="SI",(Datos!K19-Datos!U19)/Datos!U19,(Datos!K19+Datos!AA19-(Datos!U19+Datos!AI19))/(Datos!U19+Datos!AI19))," - ")</f>
        <v>5.7653631284916199E-2</v>
      </c>
      <c r="G19" s="364">
        <f>IF(ISNUMBER(
   IF(J_V="SI",(Datos!L19-Datos!V19)/Datos!V19,(Datos!L19+Datos!AB19-(Datos!V19+Datos!AJ19))/(Datos!V19+Datos!AJ19))
     ),IF(J_V="SI",(Datos!L19-Datos!V19)/Datos!V19,(Datos!L19+Datos!AB19-(Datos!V19+Datos!AJ19))/(Datos!V19+Datos!AJ19))," - ")</f>
        <v>9.0747330960854092E-2</v>
      </c>
      <c r="H19" s="365">
        <f>IF(ISNUMBER((Datos!M19-Datos!W19)/Datos!W19),(Datos!M19-Datos!W19)/Datos!W19," - ")</f>
        <v>0.11461318051575932</v>
      </c>
      <c r="I19" s="362">
        <f>IF(ISNUMBER((Tasas!C19-Datos!BE19)/Datos!BE19),(Tasas!C19-Datos!BE19)/Datos!BE19," - ")</f>
        <v>3.1289732949465805E-2</v>
      </c>
      <c r="J19" s="363">
        <f>IF(ISNUMBER((Tasas!D19-Datos!BF19)/Datos!BF19),(Tasas!D19-Datos!BF19)/Datos!BF19," - ")</f>
        <v>2.8318547825749635E-2</v>
      </c>
      <c r="K19" s="364">
        <f>IF(ISNUMBER((Tasas!E19-Datos!BG19)/Datos!BG19),(Tasas!E19-Datos!BG19)/Datos!BG19," - ")</f>
        <v>-1.0849759312914788E-2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0.29257769334034051</v>
      </c>
      <c r="E21" s="278">
        <f t="shared" si="1"/>
        <v>6.5546475250266009E-2</v>
      </c>
      <c r="F21" s="278">
        <f t="shared" si="1"/>
        <v>0.15832478495399602</v>
      </c>
      <c r="G21" s="279">
        <f t="shared" si="1"/>
        <v>0.2700477062148382</v>
      </c>
      <c r="H21" s="285">
        <f t="shared" si="1"/>
        <v>0.14853066220354083</v>
      </c>
      <c r="I21" s="277">
        <f t="shared" si="1"/>
        <v>0.31579486245313054</v>
      </c>
      <c r="J21" s="278">
        <f t="shared" si="1"/>
        <v>0.10073325873474082</v>
      </c>
      <c r="K21" s="279">
        <f t="shared" si="1"/>
        <v>8.5314637756837619E-2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NXNCC9YRtgu8WXfk5Qq6cZXbVLKP+ysijW9ecCmuObvSabBkgWx7SSEcXpy1XF3yCC9Unpn9dZ3frgmqw7t3Xw==" saltValue="IkACbZKY/m88rymGOvOuX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2025-02-28T10:36:22Z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